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20730" windowHeight="8250" firstSheet="1" activeTab="5"/>
  </bookViews>
  <sheets>
    <sheet name="Dashboard" sheetId="1" r:id="rId1"/>
    <sheet name="Template" sheetId="10" r:id="rId2"/>
    <sheet name="Income Statement" sheetId="2" r:id="rId3"/>
    <sheet name="Balance Sheet" sheetId="7" r:id="rId4"/>
    <sheet name="CashFlowStatement" sheetId="8" r:id="rId5"/>
    <sheet name="EQUITY SCHEDULE" sheetId="17" r:id="rId6"/>
    <sheet name="FixedAssetModule(FAM)" sheetId="13" r:id="rId7"/>
    <sheet name="famdata" sheetId="16" r:id="rId8"/>
    <sheet name="DebtRepaymentS.(DRS)" sheetId="15" r:id="rId9"/>
    <sheet name="DRS_data" sheetId="14" r:id="rId10"/>
  </sheets>
  <externalReferences>
    <externalReference r:id="rId11"/>
  </externalReferences>
  <definedNames>
    <definedName name="COMPANY_NAME" localSheetId="8">[1]DASHBOARD!$D$4</definedName>
    <definedName name="COMPANY_NAME" localSheetId="9">[1]DASHBOARD!$D$4</definedName>
    <definedName name="COMPANY_NAME" localSheetId="7">[1]DASHBOARD!$D$4</definedName>
    <definedName name="COMPANY_NAME" localSheetId="6">[1]DASHBOARD!$D$4</definedName>
    <definedName name="Company_name">Dashboard!$C$4</definedName>
    <definedName name="CURRENCY" localSheetId="8">[1]DASHBOARD!$D$6</definedName>
    <definedName name="CURRENCY" localSheetId="9">[1]DASHBOARD!$D$6</definedName>
    <definedName name="CURRENCY" localSheetId="7">[1]DASHBOARD!$D$6</definedName>
    <definedName name="CURRENCY" localSheetId="6">[1]DASHBOARD!$D$6</definedName>
    <definedName name="Currency">Dashboard!$C$6</definedName>
    <definedName name="LHY" localSheetId="8">[1]DASHBOARD!$D$8</definedName>
    <definedName name="LHY" localSheetId="9">[1]DASHBOARD!$D$8</definedName>
    <definedName name="LHY" localSheetId="7">[1]DASHBOARD!$D$8</definedName>
    <definedName name="LHY" localSheetId="6">[1]DASHBOARD!$D$8</definedName>
    <definedName name="LHY">Dashboard!$C$8</definedName>
  </definedNames>
  <calcPr calcId="124519"/>
</workbook>
</file>

<file path=xl/calcChain.xml><?xml version="1.0" encoding="utf-8"?>
<calcChain xmlns="http://schemas.openxmlformats.org/spreadsheetml/2006/main">
  <c r="K49" i="8"/>
  <c r="L49"/>
  <c r="J49"/>
  <c r="J56" i="7"/>
  <c r="K56"/>
  <c r="L56"/>
  <c r="J55"/>
  <c r="K55"/>
  <c r="L55"/>
  <c r="J54"/>
  <c r="K54"/>
  <c r="L54"/>
  <c r="J52"/>
  <c r="K52"/>
  <c r="L52"/>
  <c r="J50"/>
  <c r="K50"/>
  <c r="L50"/>
  <c r="J49"/>
  <c r="K49"/>
  <c r="L49"/>
  <c r="J119" i="17"/>
  <c r="K119"/>
  <c r="L119"/>
  <c r="J120"/>
  <c r="K120"/>
  <c r="L120"/>
  <c r="J121"/>
  <c r="K121"/>
  <c r="L121"/>
  <c r="J122"/>
  <c r="K122"/>
  <c r="L122"/>
  <c r="J123"/>
  <c r="K123"/>
  <c r="L123"/>
  <c r="J124"/>
  <c r="K124"/>
  <c r="L124"/>
  <c r="J106"/>
  <c r="K106"/>
  <c r="L106"/>
  <c r="J95"/>
  <c r="K95"/>
  <c r="L95"/>
  <c r="J96"/>
  <c r="K96"/>
  <c r="L96"/>
  <c r="J97"/>
  <c r="K97"/>
  <c r="L97"/>
  <c r="J98"/>
  <c r="K98"/>
  <c r="L98"/>
  <c r="J99"/>
  <c r="K99"/>
  <c r="L99"/>
  <c r="J100"/>
  <c r="K100"/>
  <c r="L100"/>
  <c r="J50"/>
  <c r="K50" s="1"/>
  <c r="L50" s="1"/>
  <c r="J49"/>
  <c r="K49" s="1"/>
  <c r="L49" s="1"/>
  <c r="J40"/>
  <c r="K40" s="1"/>
  <c r="L40" s="1"/>
  <c r="K27"/>
  <c r="L27" s="1"/>
  <c r="J27"/>
  <c r="J30" s="1"/>
  <c r="K21" s="1"/>
  <c r="J117"/>
  <c r="J105"/>
  <c r="J93"/>
  <c r="J81"/>
  <c r="J89" s="1"/>
  <c r="K81" s="1"/>
  <c r="K89" s="1"/>
  <c r="L81" s="1"/>
  <c r="L89" s="1"/>
  <c r="J69"/>
  <c r="J77" s="1"/>
  <c r="K69" s="1"/>
  <c r="K77" s="1"/>
  <c r="L69" s="1"/>
  <c r="L77" s="1"/>
  <c r="J57"/>
  <c r="J65" s="1"/>
  <c r="K57" s="1"/>
  <c r="K65" s="1"/>
  <c r="L57" s="1"/>
  <c r="L65" s="1"/>
  <c r="J45"/>
  <c r="J42"/>
  <c r="K34" s="1"/>
  <c r="J34"/>
  <c r="J21"/>
  <c r="J17"/>
  <c r="K9" s="1"/>
  <c r="K17" s="1"/>
  <c r="L9" s="1"/>
  <c r="L17" s="1"/>
  <c r="J9"/>
  <c r="J113" l="1"/>
  <c r="K42"/>
  <c r="L34" s="1"/>
  <c r="L42" s="1"/>
  <c r="K30"/>
  <c r="L21" s="1"/>
  <c r="L30" s="1"/>
  <c r="K105" l="1"/>
  <c r="K113" s="1"/>
  <c r="J58" i="7"/>
  <c r="I4" i="17"/>
  <c r="J4" s="1"/>
  <c r="K4" s="1"/>
  <c r="L4" s="1"/>
  <c r="B4"/>
  <c r="B2"/>
  <c r="L105" l="1"/>
  <c r="L113" s="1"/>
  <c r="L58" i="7" s="1"/>
  <c r="K58"/>
  <c r="H4" i="17"/>
  <c r="G4" s="1"/>
  <c r="F4" s="1"/>
  <c r="E4" s="1"/>
  <c r="D4" s="1"/>
  <c r="K44" i="8"/>
  <c r="L44"/>
  <c r="J44"/>
  <c r="L41" i="7"/>
  <c r="K41"/>
  <c r="J41"/>
  <c r="K11" i="2"/>
  <c r="L11"/>
  <c r="J11"/>
  <c r="H74" i="13"/>
  <c r="I66" l="1"/>
  <c r="H66"/>
  <c r="H67" s="1"/>
  <c r="H70" s="1"/>
  <c r="I70" s="1"/>
  <c r="I59"/>
  <c r="H59"/>
  <c r="H60" s="1"/>
  <c r="H63" s="1"/>
  <c r="I63" s="1"/>
  <c r="I52"/>
  <c r="H52"/>
  <c r="H53" s="1"/>
  <c r="H56" s="1"/>
  <c r="I56" s="1"/>
  <c r="I45"/>
  <c r="H45"/>
  <c r="H46" s="1"/>
  <c r="H49" s="1"/>
  <c r="I49" s="1"/>
  <c r="I38"/>
  <c r="H38"/>
  <c r="H39" s="1"/>
  <c r="H42" s="1"/>
  <c r="I42" s="1"/>
  <c r="I31"/>
  <c r="H31"/>
  <c r="H32" s="1"/>
  <c r="H35" s="1"/>
  <c r="I35" s="1"/>
  <c r="I24"/>
  <c r="H24"/>
  <c r="H25" s="1"/>
  <c r="H28" s="1"/>
  <c r="I28" s="1"/>
  <c r="I17"/>
  <c r="H17"/>
  <c r="H18" s="1"/>
  <c r="H21" s="1"/>
  <c r="I21" s="1"/>
  <c r="J70" l="1"/>
  <c r="I67"/>
  <c r="I68" s="1"/>
  <c r="J66" s="1"/>
  <c r="J63"/>
  <c r="I60"/>
  <c r="I61" s="1"/>
  <c r="J59" s="1"/>
  <c r="J56"/>
  <c r="I53"/>
  <c r="I54" s="1"/>
  <c r="J52" s="1"/>
  <c r="J49"/>
  <c r="I46"/>
  <c r="I47" s="1"/>
  <c r="J45" s="1"/>
  <c r="J42"/>
  <c r="I39"/>
  <c r="I40" s="1"/>
  <c r="J38" s="1"/>
  <c r="J35"/>
  <c r="I32"/>
  <c r="I33" s="1"/>
  <c r="J31" s="1"/>
  <c r="J28"/>
  <c r="I25"/>
  <c r="I26" s="1"/>
  <c r="J24" s="1"/>
  <c r="J21"/>
  <c r="I18"/>
  <c r="I19" s="1"/>
  <c r="J17" s="1"/>
  <c r="K70" l="1"/>
  <c r="K67" s="1"/>
  <c r="J67"/>
  <c r="J68" s="1"/>
  <c r="K66" s="1"/>
  <c r="K63"/>
  <c r="K60" s="1"/>
  <c r="J60"/>
  <c r="J61" s="1"/>
  <c r="K59" s="1"/>
  <c r="K56"/>
  <c r="K53" s="1"/>
  <c r="J53"/>
  <c r="J54" s="1"/>
  <c r="K52" s="1"/>
  <c r="K49"/>
  <c r="K46" s="1"/>
  <c r="J46"/>
  <c r="J47" s="1"/>
  <c r="K45" s="1"/>
  <c r="J40"/>
  <c r="K38" s="1"/>
  <c r="K40" s="1"/>
  <c r="K42"/>
  <c r="K39" s="1"/>
  <c r="J39"/>
  <c r="K35"/>
  <c r="K32" s="1"/>
  <c r="J32"/>
  <c r="J33" s="1"/>
  <c r="K31" s="1"/>
  <c r="K33" s="1"/>
  <c r="K28"/>
  <c r="K25" s="1"/>
  <c r="J25"/>
  <c r="J26" s="1"/>
  <c r="K24" s="1"/>
  <c r="K21"/>
  <c r="K18" s="1"/>
  <c r="J18"/>
  <c r="J19" s="1"/>
  <c r="K17" s="1"/>
  <c r="K19" s="1"/>
  <c r="K54" l="1"/>
  <c r="K26"/>
  <c r="K47"/>
  <c r="K61"/>
  <c r="K68"/>
  <c r="I12" l="1"/>
  <c r="I72" s="1"/>
  <c r="H14"/>
  <c r="B4" i="16"/>
  <c r="B5"/>
  <c r="B6"/>
  <c r="B7"/>
  <c r="B8"/>
  <c r="B9"/>
  <c r="B10"/>
  <c r="B2" i="15"/>
  <c r="B4"/>
  <c r="H4"/>
  <c r="I4" s="1"/>
  <c r="J4" s="1"/>
  <c r="K4" s="1"/>
  <c r="L4" s="1"/>
  <c r="H9"/>
  <c r="H11"/>
  <c r="G13"/>
  <c r="H16"/>
  <c r="H17" s="1"/>
  <c r="H66" s="1"/>
  <c r="I16"/>
  <c r="I18"/>
  <c r="I20" s="1"/>
  <c r="G20"/>
  <c r="H20"/>
  <c r="H23"/>
  <c r="I23"/>
  <c r="J23"/>
  <c r="I25"/>
  <c r="I27" s="1"/>
  <c r="J25"/>
  <c r="K23" s="1"/>
  <c r="K25" s="1"/>
  <c r="G27"/>
  <c r="H27"/>
  <c r="H30"/>
  <c r="H32" s="1"/>
  <c r="G34"/>
  <c r="H37"/>
  <c r="H39" s="1"/>
  <c r="G41"/>
  <c r="H44"/>
  <c r="I44"/>
  <c r="J44"/>
  <c r="K44"/>
  <c r="I46"/>
  <c r="J46"/>
  <c r="J48" s="1"/>
  <c r="K46"/>
  <c r="L44" s="1"/>
  <c r="L46" s="1"/>
  <c r="L48" s="1"/>
  <c r="G48"/>
  <c r="H48"/>
  <c r="I48"/>
  <c r="H51"/>
  <c r="H53" s="1"/>
  <c r="G55"/>
  <c r="G60"/>
  <c r="I62"/>
  <c r="J62"/>
  <c r="K62"/>
  <c r="L62" s="1"/>
  <c r="B2" i="13"/>
  <c r="B4"/>
  <c r="H4"/>
  <c r="I4" s="1"/>
  <c r="J4" s="1"/>
  <c r="K4" s="1"/>
  <c r="H10"/>
  <c r="I10"/>
  <c r="H11"/>
  <c r="I14"/>
  <c r="I11" s="1"/>
  <c r="I74" s="1"/>
  <c r="J32" i="8" s="1"/>
  <c r="C16" i="13"/>
  <c r="C23"/>
  <c r="C30"/>
  <c r="C37"/>
  <c r="C44"/>
  <c r="C51"/>
  <c r="C58"/>
  <c r="H81"/>
  <c r="I81"/>
  <c r="H82"/>
  <c r="H86" l="1"/>
  <c r="I86" s="1"/>
  <c r="J86" s="1"/>
  <c r="K86" s="1"/>
  <c r="G4" i="15"/>
  <c r="F4" s="1"/>
  <c r="H34"/>
  <c r="I30"/>
  <c r="I32" s="1"/>
  <c r="I51"/>
  <c r="I53" s="1"/>
  <c r="H55"/>
  <c r="H41"/>
  <c r="I37"/>
  <c r="I39" s="1"/>
  <c r="H60"/>
  <c r="K27"/>
  <c r="L23"/>
  <c r="L25" s="1"/>
  <c r="L27" s="1"/>
  <c r="K48"/>
  <c r="J27"/>
  <c r="J16"/>
  <c r="J18" s="1"/>
  <c r="K16" s="1"/>
  <c r="K18" s="1"/>
  <c r="L16" s="1"/>
  <c r="L18" s="1"/>
  <c r="I9"/>
  <c r="I11" s="1"/>
  <c r="G4" i="13"/>
  <c r="F4" s="1"/>
  <c r="J14"/>
  <c r="J11" s="1"/>
  <c r="J74" s="1"/>
  <c r="K32" i="8" s="1"/>
  <c r="I55" i="15" l="1"/>
  <c r="J51"/>
  <c r="J53" s="1"/>
  <c r="J9"/>
  <c r="J11" s="1"/>
  <c r="I41"/>
  <c r="J37"/>
  <c r="J39" s="1"/>
  <c r="I34"/>
  <c r="I68" s="1"/>
  <c r="J30"/>
  <c r="J32" s="1"/>
  <c r="I60"/>
  <c r="K14" i="13"/>
  <c r="K11" s="1"/>
  <c r="K74" s="1"/>
  <c r="L32" i="8" s="1"/>
  <c r="I82" i="13"/>
  <c r="I83" l="1"/>
  <c r="J81" s="1"/>
  <c r="J9" i="8"/>
  <c r="I59" i="15"/>
  <c r="J60"/>
  <c r="K37"/>
  <c r="K39" s="1"/>
  <c r="J41"/>
  <c r="K9"/>
  <c r="K11" s="1"/>
  <c r="J55"/>
  <c r="K51"/>
  <c r="K53" s="1"/>
  <c r="K30"/>
  <c r="K32" s="1"/>
  <c r="J34"/>
  <c r="J10" i="13"/>
  <c r="J12" s="1"/>
  <c r="J72" s="1"/>
  <c r="I88"/>
  <c r="J16" i="7" s="1"/>
  <c r="L51" i="15" l="1"/>
  <c r="L53" s="1"/>
  <c r="L55" s="1"/>
  <c r="K55"/>
  <c r="I66"/>
  <c r="I64"/>
  <c r="L37"/>
  <c r="L39" s="1"/>
  <c r="L41" s="1"/>
  <c r="K41"/>
  <c r="J68"/>
  <c r="J59"/>
  <c r="L60"/>
  <c r="L59" s="1"/>
  <c r="L66" s="1"/>
  <c r="L30"/>
  <c r="L32" s="1"/>
  <c r="L34" s="1"/>
  <c r="K34"/>
  <c r="K68" s="1"/>
  <c r="L9"/>
  <c r="L11" s="1"/>
  <c r="K64"/>
  <c r="K60"/>
  <c r="K59" s="1"/>
  <c r="J82" i="13"/>
  <c r="K10"/>
  <c r="K12" s="1"/>
  <c r="K72" s="1"/>
  <c r="J83" l="1"/>
  <c r="K81" s="1"/>
  <c r="K9" i="8"/>
  <c r="L64" i="15"/>
  <c r="J66"/>
  <c r="J64"/>
  <c r="K66"/>
  <c r="L68"/>
  <c r="J88" i="13" l="1"/>
  <c r="I64" i="7"/>
  <c r="I59"/>
  <c r="H35"/>
  <c r="K50" i="8"/>
  <c r="L50"/>
  <c r="J50"/>
  <c r="K35"/>
  <c r="L35"/>
  <c r="J35"/>
  <c r="K37"/>
  <c r="L37"/>
  <c r="J37"/>
  <c r="K39"/>
  <c r="L39"/>
  <c r="J39"/>
  <c r="K27"/>
  <c r="L27"/>
  <c r="J27"/>
  <c r="K26"/>
  <c r="L26"/>
  <c r="J26"/>
  <c r="K18"/>
  <c r="L18"/>
  <c r="J18"/>
  <c r="L14"/>
  <c r="K14"/>
  <c r="J14"/>
  <c r="L24"/>
  <c r="K24"/>
  <c r="J24"/>
  <c r="K82" i="13" l="1"/>
  <c r="K16" i="7"/>
  <c r="J28" i="8"/>
  <c r="J60"/>
  <c r="K57"/>
  <c r="L57"/>
  <c r="J57"/>
  <c r="K41"/>
  <c r="L41"/>
  <c r="J41"/>
  <c r="K28"/>
  <c r="K40" i="7"/>
  <c r="L40" s="1"/>
  <c r="J40"/>
  <c r="J37"/>
  <c r="K37" s="1"/>
  <c r="L37" s="1"/>
  <c r="J38"/>
  <c r="K38"/>
  <c r="L38" s="1"/>
  <c r="K36"/>
  <c r="L36" s="1"/>
  <c r="J36"/>
  <c r="J30"/>
  <c r="K30" s="1"/>
  <c r="L30" s="1"/>
  <c r="J31"/>
  <c r="K31"/>
  <c r="L31" s="1"/>
  <c r="J32"/>
  <c r="K32"/>
  <c r="L32"/>
  <c r="J33"/>
  <c r="K33"/>
  <c r="L33"/>
  <c r="J34"/>
  <c r="K34" s="1"/>
  <c r="L34" s="1"/>
  <c r="K29"/>
  <c r="L29" s="1"/>
  <c r="J29"/>
  <c r="K39"/>
  <c r="L39" s="1"/>
  <c r="J39"/>
  <c r="K28"/>
  <c r="L28" s="1"/>
  <c r="J28"/>
  <c r="J35" s="1"/>
  <c r="J20"/>
  <c r="K20" s="1"/>
  <c r="L20" s="1"/>
  <c r="J21"/>
  <c r="K21"/>
  <c r="L21" s="1"/>
  <c r="J22"/>
  <c r="K22"/>
  <c r="L22"/>
  <c r="J23"/>
  <c r="K23"/>
  <c r="L23"/>
  <c r="K19"/>
  <c r="L19" s="1"/>
  <c r="J19"/>
  <c r="J10"/>
  <c r="K10" s="1"/>
  <c r="J11"/>
  <c r="K11"/>
  <c r="L11" s="1"/>
  <c r="J12"/>
  <c r="K12"/>
  <c r="L12"/>
  <c r="J13"/>
  <c r="K13"/>
  <c r="L13"/>
  <c r="J14"/>
  <c r="K14" s="1"/>
  <c r="L14" s="1"/>
  <c r="K9"/>
  <c r="L9" s="1"/>
  <c r="J9"/>
  <c r="E64"/>
  <c r="F64"/>
  <c r="G64"/>
  <c r="H64"/>
  <c r="D64"/>
  <c r="K19" i="2"/>
  <c r="L19"/>
  <c r="J19"/>
  <c r="K17"/>
  <c r="L17"/>
  <c r="J17"/>
  <c r="K13"/>
  <c r="L13" s="1"/>
  <c r="J14"/>
  <c r="K14"/>
  <c r="L14" s="1"/>
  <c r="J15"/>
  <c r="K15"/>
  <c r="L15"/>
  <c r="J12"/>
  <c r="K12" s="1"/>
  <c r="L12" s="1"/>
  <c r="K9"/>
  <c r="L9" s="1"/>
  <c r="J9"/>
  <c r="J7"/>
  <c r="K7" s="1"/>
  <c r="L7" s="1"/>
  <c r="K6"/>
  <c r="L6" s="1"/>
  <c r="J6"/>
  <c r="I4" i="10"/>
  <c r="J4" s="1"/>
  <c r="K4" s="1"/>
  <c r="L4" s="1"/>
  <c r="B4"/>
  <c r="B2"/>
  <c r="I4" i="8"/>
  <c r="J4" s="1"/>
  <c r="K4" s="1"/>
  <c r="L4" s="1"/>
  <c r="B4"/>
  <c r="B2"/>
  <c r="I4" i="7"/>
  <c r="J4" s="1"/>
  <c r="K4" s="1"/>
  <c r="L4" s="1"/>
  <c r="B4"/>
  <c r="B2"/>
  <c r="K83" i="13" l="1"/>
  <c r="K88" s="1"/>
  <c r="L16" i="7" s="1"/>
  <c r="L9" i="8"/>
  <c r="L28" s="1"/>
  <c r="H4"/>
  <c r="G4" s="1"/>
  <c r="F4" s="1"/>
  <c r="E4" s="1"/>
  <c r="D4" s="1"/>
  <c r="H4" i="10"/>
  <c r="G4" s="1"/>
  <c r="F4" s="1"/>
  <c r="E4" s="1"/>
  <c r="D4" s="1"/>
  <c r="L35" i="7"/>
  <c r="L42" s="1"/>
  <c r="J42"/>
  <c r="K35"/>
  <c r="K42" s="1"/>
  <c r="L10"/>
  <c r="H4"/>
  <c r="G4" s="1"/>
  <c r="F4" s="1"/>
  <c r="E4" s="1"/>
  <c r="D4" s="1"/>
  <c r="L8" i="2"/>
  <c r="L10" s="1"/>
  <c r="L16" s="1"/>
  <c r="L18" s="1"/>
  <c r="J8"/>
  <c r="J10" s="1"/>
  <c r="J16" s="1"/>
  <c r="J18" s="1"/>
  <c r="K8"/>
  <c r="K10" s="1"/>
  <c r="K16" s="1"/>
  <c r="K18" s="1"/>
  <c r="I4"/>
  <c r="H4" s="1"/>
  <c r="G4" s="1"/>
  <c r="F4" s="1"/>
  <c r="E4" s="1"/>
  <c r="D4" s="1"/>
  <c r="B4"/>
  <c r="B2"/>
  <c r="K20" l="1"/>
  <c r="K46" i="17" s="1"/>
  <c r="K94" s="1"/>
  <c r="K118" s="1"/>
  <c r="K7" i="8"/>
  <c r="K29" s="1"/>
  <c r="K59" s="1"/>
  <c r="J20" i="2"/>
  <c r="J46" i="17" s="1"/>
  <c r="J7" i="8"/>
  <c r="J29" s="1"/>
  <c r="J59" s="1"/>
  <c r="J61" s="1"/>
  <c r="K60" s="1"/>
  <c r="L20" i="2"/>
  <c r="L46" i="17" s="1"/>
  <c r="L94" s="1"/>
  <c r="L118" s="1"/>
  <c r="L7" i="8"/>
  <c r="L29" s="1"/>
  <c r="L59" s="1"/>
  <c r="J4" i="2"/>
  <c r="K4" s="1"/>
  <c r="L4" s="1"/>
  <c r="J94" i="17" l="1"/>
  <c r="J53"/>
  <c r="K61" i="8"/>
  <c r="L60" s="1"/>
  <c r="L61" s="1"/>
  <c r="L8" i="7" s="1"/>
  <c r="L15" s="1"/>
  <c r="L24" s="1"/>
  <c r="J8"/>
  <c r="J15" s="1"/>
  <c r="J24" s="1"/>
  <c r="K45" i="17" l="1"/>
  <c r="K53" s="1"/>
  <c r="J53" i="7"/>
  <c r="J57" s="1"/>
  <c r="J59" s="1"/>
  <c r="J61" s="1"/>
  <c r="J118" i="17"/>
  <c r="J125" s="1"/>
  <c r="K117" s="1"/>
  <c r="K125" s="1"/>
  <c r="L117" s="1"/>
  <c r="L125" s="1"/>
  <c r="J101"/>
  <c r="K93" s="1"/>
  <c r="K101" s="1"/>
  <c r="L93" s="1"/>
  <c r="L101" s="1"/>
  <c r="K8" i="7"/>
  <c r="K15" s="1"/>
  <c r="K24" s="1"/>
  <c r="J64"/>
  <c r="L45" i="17" l="1"/>
  <c r="L53" s="1"/>
  <c r="L53" i="7" s="1"/>
  <c r="L57" s="1"/>
  <c r="L59" s="1"/>
  <c r="L61" s="1"/>
  <c r="L64" s="1"/>
  <c r="K53"/>
  <c r="K57" s="1"/>
  <c r="K59" s="1"/>
  <c r="K61" s="1"/>
  <c r="K64" s="1"/>
</calcChain>
</file>

<file path=xl/sharedStrings.xml><?xml version="1.0" encoding="utf-8"?>
<sst xmlns="http://schemas.openxmlformats.org/spreadsheetml/2006/main" count="587" uniqueCount="224">
  <si>
    <t>Company Name</t>
  </si>
  <si>
    <t>Currency</t>
  </si>
  <si>
    <t>Last historical period</t>
  </si>
  <si>
    <t>Historical data</t>
  </si>
  <si>
    <t>Net income</t>
  </si>
  <si>
    <t>Retained earnings</t>
  </si>
  <si>
    <t>Total liabilities</t>
  </si>
  <si>
    <t>Total current liabilities</t>
  </si>
  <si>
    <t>Current liabilities:</t>
  </si>
  <si>
    <t>Total assets</t>
  </si>
  <si>
    <t>Property, plant and equipment, net</t>
  </si>
  <si>
    <t>Total current assets</t>
  </si>
  <si>
    <t>Inventories</t>
  </si>
  <si>
    <t>Cash and cash equivalents</t>
  </si>
  <si>
    <t>Other</t>
  </si>
  <si>
    <t>Coca-Cola Bottling Co. Consolidated (COKE)</t>
  </si>
  <si>
    <t>(in thousands, except per share data)</t>
  </si>
  <si>
    <t>Estimated</t>
  </si>
  <si>
    <t>T</t>
  </si>
  <si>
    <t>Net sales</t>
  </si>
  <si>
    <t>Cost of sales</t>
  </si>
  <si>
    <t>Gross profit</t>
  </si>
  <si>
    <t>Selling, delivery and administrative expenses</t>
  </si>
  <si>
    <t>Income from operations</t>
  </si>
  <si>
    <t>Interest expense, net</t>
  </si>
  <si>
    <t>Other income (expense), net</t>
  </si>
  <si>
    <t>Gain (loss) on exchange of franchise territory</t>
  </si>
  <si>
    <t>-</t>
  </si>
  <si>
    <t>Gain on sale of business</t>
  </si>
  <si>
    <t>Bargain purchase gain, net of tax of $1,265</t>
  </si>
  <si>
    <t>Income before taxes</t>
  </si>
  <si>
    <t>Income tax expense</t>
  </si>
  <si>
    <t>Less: Net income attributable to noncontrolling interest</t>
  </si>
  <si>
    <t>Net income attributable to Coca-Cola Bottling Co. Consolidated</t>
  </si>
  <si>
    <t>Basic net income per share based on net income attributable to Coca-Cola Bottling Co. Consolidated:</t>
  </si>
  <si>
    <t>Common Stock</t>
  </si>
  <si>
    <t>Weighted average number of Common Stock shares outstanding</t>
  </si>
  <si>
    <t>Class B Common Stock</t>
  </si>
  <si>
    <t>Weighted average number of Class B Common Stock shares outstanding</t>
  </si>
  <si>
    <t>Diluted net income per share based on net income attributable to Coca-Cola Bottling Co. Consolidated:</t>
  </si>
  <si>
    <t>Weighted average number of Common Stock shares outstanding – assuming dilution</t>
  </si>
  <si>
    <t>Weighted average number of Class B Common Stock shares outstanding – assuming dilution</t>
  </si>
  <si>
    <t>ASSETS</t>
  </si>
  <si>
    <t>Current Assets:</t>
  </si>
  <si>
    <t>Accounts receivable, trade</t>
  </si>
  <si>
    <t>Allowance for doubtful accounts</t>
  </si>
  <si>
    <t>Accounts receivable from The Coca-Cola Company</t>
  </si>
  <si>
    <t>Accounts receivable, other</t>
  </si>
  <si>
    <t>Prepaid expenses and other current assets</t>
  </si>
  <si>
    <t>Franchise rights</t>
  </si>
  <si>
    <t>Right of use assets - operating leases</t>
  </si>
  <si>
    <t>Leased property under financing or capital leases, net</t>
  </si>
  <si>
    <t>Other assets</t>
  </si>
  <si>
    <t>Goodwill</t>
  </si>
  <si>
    <t>Distribution agreements, net</t>
  </si>
  <si>
    <t>Customer lists and other identifiable intangible assets, net</t>
  </si>
  <si>
    <t>LIABILITIES AND EQUITY</t>
  </si>
  <si>
    <t>Current portion of obligations under operating leases</t>
  </si>
  <si>
    <t>Current portion of obligations under financing or capital leases</t>
  </si>
  <si>
    <t>Accounts payable, trade</t>
  </si>
  <si>
    <t>Accounts payable to The Coca-Cola Company</t>
  </si>
  <si>
    <t>Other accrued liabilities</t>
  </si>
  <si>
    <t>Accrued compensation</t>
  </si>
  <si>
    <t>Accrued interest payable</t>
  </si>
  <si>
    <t>Deferred income taxes</t>
  </si>
  <si>
    <t>Pension and postretirement benefit obligations</t>
  </si>
  <si>
    <t>Other liabilities</t>
  </si>
  <si>
    <t>Noncurrent portion of obligations under operating leases</t>
  </si>
  <si>
    <t>Noncurrent portion of obligations under financing or capital leases</t>
  </si>
  <si>
    <t>Long-term debt</t>
  </si>
  <si>
    <t>Equity:</t>
  </si>
  <si>
    <t>Convertible Preferred Stock, $100.00 par value:  authorized - 50,000 shares; issued - none</t>
  </si>
  <si>
    <t>Nonconvertible Preferred Stock, $100.00 par value:  authorized - 50,000 shares; issued - none</t>
  </si>
  <si>
    <t>Preferred Stock, $0.01 par value:  authorized - 20,000,000 shares; issued - none</t>
  </si>
  <si>
    <t>Common Stock, $1.00 par value:  authorized - 30,000,000 shares; issued - 10,203,821 shares</t>
  </si>
  <si>
    <t>Class B Common Stock, $1.00 par value:  authorized - 10,000,000 shares; issued - 2,860,356 and 2,841,132 shares, respectively</t>
  </si>
  <si>
    <t>Class C Common Stock, $1.00 par value:  authorized - 20,000,000 shares; issued - none</t>
  </si>
  <si>
    <t>Capital in excess of par value</t>
  </si>
  <si>
    <t>Accumulated other comprehensive loss</t>
  </si>
  <si>
    <t>(89,914</t>
  </si>
  <si>
    <t>Treasury stock, at cost:  Common Stock - 3,062,374 shares</t>
  </si>
  <si>
    <t>Treasury stock, at cost:  Class B Common Stock - 628,114 shares</t>
  </si>
  <si>
    <t>Total equity of Coca-Cola Consolidated, Inc.</t>
  </si>
  <si>
    <t>Noncontrolling interest</t>
  </si>
  <si>
    <t>Total equity</t>
  </si>
  <si>
    <t>Total liabilities and equity</t>
  </si>
  <si>
    <t>Cash Flows from Operating Activities:</t>
  </si>
  <si>
    <t>Net income (loss)</t>
  </si>
  <si>
    <t>Adjustments to reconcile net income (loss) to net cash provided by operating activities:</t>
  </si>
  <si>
    <t>Depreciation expense from property, plant and equipment and financing or capital leases</t>
  </si>
  <si>
    <t>Amortization of intangible assets and deferred proceeds, net</t>
  </si>
  <si>
    <t>Fair value adjustment of acquisition related contingent consideration</t>
  </si>
  <si>
    <t>Impairment of property, plant and equipment</t>
  </si>
  <si>
    <t>Loss on sale of property, plant and equipment</t>
  </si>
  <si>
    <t>Stock compensation expense</t>
  </si>
  <si>
    <t>Amortization of debt costs</t>
  </si>
  <si>
    <t>Gain on exchange transactions</t>
  </si>
  <si>
    <t>Proceeds from Legacy Facilities Credit</t>
  </si>
  <si>
    <t>Bargain purchase gain</t>
  </si>
  <si>
    <t>Proceeds from Territory Conversion Fee</t>
  </si>
  <si>
    <t>System Transformation transactions settlements</t>
  </si>
  <si>
    <t>Gain on acquisition of Southeastern Container preferred shares in CCR redistribution</t>
  </si>
  <si>
    <t>Change in current assets less current liabilities (exclusive of acquisitions)</t>
  </si>
  <si>
    <t>Change in other noncurrent assets (exclusive of acquisitions)</t>
  </si>
  <si>
    <t>Change in other noncurrent liabilities (exclusive of acquisitions)</t>
  </si>
  <si>
    <t>Total adjustments</t>
  </si>
  <si>
    <t>Net cash provided by operating activities</t>
  </si>
  <si>
    <t>Cash Flows from Investing Activities:</t>
  </si>
  <si>
    <t>Additions to property, plant and equipment (exclusive of acquisitions)</t>
  </si>
  <si>
    <t>Other distribution agreements</t>
  </si>
  <si>
    <t>Proceeds from the sale of property, plant and equipment</t>
  </si>
  <si>
    <t>Investment in CONA Services LLC</t>
  </si>
  <si>
    <t>Net cash paid for exchange transactions</t>
  </si>
  <si>
    <t>Proceeds from cold drink equipment</t>
  </si>
  <si>
    <t>Acquisition of distribution territories and manufacturing plants, net of cash acquired and purchase price settlements</t>
  </si>
  <si>
    <t>Glacéau distribution agreement consideration</t>
  </si>
  <si>
    <t>Portion of Legacy Facilities Credit related to Mobile, Alabama facility</t>
  </si>
  <si>
    <t>Net cash used in investing activities</t>
  </si>
  <si>
    <t>Cash Flows from Financing Activities:</t>
  </si>
  <si>
    <t>Payments on revolving credit facility</t>
  </si>
  <si>
    <t>Borrowing under revolving credit facility</t>
  </si>
  <si>
    <t>Payments on term loan facility and senior notes</t>
  </si>
  <si>
    <t>Proceeds from issuance of senior notes</t>
  </si>
  <si>
    <t>Payments of acquisition related contingent consideration</t>
  </si>
  <si>
    <t>Cash dividends paid</t>
  </si>
  <si>
    <t>Payments on financing or capital lease obligations</t>
  </si>
  <si>
    <t>Borrowings under Senior Notes, net of discount</t>
  </si>
  <si>
    <t>Borrowings under Term Loan Facility</t>
  </si>
  <si>
    <t>Repayment of Lines of Credit</t>
  </si>
  <si>
    <t>Excess tax expense (benefit) from stock-based compensation</t>
  </si>
  <si>
    <t>Debt issuance fees</t>
  </si>
  <si>
    <t>Net cash provided by (used in) financing activities</t>
  </si>
  <si>
    <t>Net decrease in cash</t>
  </si>
  <si>
    <t>Cash at beginning of year</t>
  </si>
  <si>
    <t>Cash at end of year</t>
  </si>
  <si>
    <t>Significant noncash investing and financing activities:</t>
  </si>
  <si>
    <t>Issuance of Class B Common Stock in connection with stock award</t>
  </si>
  <si>
    <t>Capital lease obligations incurred</t>
  </si>
  <si>
    <t>Additions to property, plant and equipment accrued and recorded in accounts payable, trade</t>
  </si>
  <si>
    <t>BS Tally</t>
  </si>
  <si>
    <t>Land</t>
  </si>
  <si>
    <t>Opening</t>
  </si>
  <si>
    <t>Closing</t>
  </si>
  <si>
    <t>Buildings</t>
  </si>
  <si>
    <t>Machinery and equipment</t>
  </si>
  <si>
    <t>Transportation equipment</t>
  </si>
  <si>
    <t>Furniture and fixtures</t>
  </si>
  <si>
    <t>Cold drink dispensing equipment</t>
  </si>
  <si>
    <t>Leasehold and land improvements</t>
  </si>
  <si>
    <t>Software for internal use</t>
  </si>
  <si>
    <t>Total property, plant and equipment, at cost</t>
  </si>
  <si>
    <t>Less:  Accumulated depreciation and amortization</t>
  </si>
  <si>
    <t>Depreciation Percentage during the year</t>
  </si>
  <si>
    <t>closing</t>
  </si>
  <si>
    <t>Dep during the year</t>
  </si>
  <si>
    <t>opening</t>
  </si>
  <si>
    <t>Capex during the year</t>
  </si>
  <si>
    <t>Capex as a % of sale</t>
  </si>
  <si>
    <t>Addition Capex/Deletion</t>
  </si>
  <si>
    <t>Construction in progress</t>
  </si>
  <si>
    <t>3-10 years</t>
  </si>
  <si>
    <t>5-20 years</t>
  </si>
  <si>
    <t>5-17 years</t>
  </si>
  <si>
    <t>4-20 years</t>
  </si>
  <si>
    <t>8-50 years</t>
  </si>
  <si>
    <t>DepRate</t>
  </si>
  <si>
    <t>Estimated Useful Lives</t>
  </si>
  <si>
    <t>Property, Plant and Equipment Net</t>
  </si>
  <si>
    <t>Historical</t>
  </si>
  <si>
    <t>Noncurrent portion of lease liabilities - capital leases</t>
  </si>
  <si>
    <t>Less:  Current portion of lease liabilities - capital leases</t>
  </si>
  <si>
    <t>Debt issuance costs</t>
  </si>
  <si>
    <t>Present value of minimum lease principal payments</t>
  </si>
  <si>
    <t>Unamortized discount on senior notes-3)</t>
  </si>
  <si>
    <t>Less:  Amounts representing interest</t>
  </si>
  <si>
    <t>Total minimum lease payments including interest</t>
  </si>
  <si>
    <t>Senior notes</t>
  </si>
  <si>
    <t>Thereafter</t>
  </si>
  <si>
    <t>Total debt</t>
  </si>
  <si>
    <t>Fiscal 2024</t>
  </si>
  <si>
    <t>Revolving credit facility-2)</t>
  </si>
  <si>
    <t>Variable</t>
  </si>
  <si>
    <t>Fiscal 2023</t>
  </si>
  <si>
    <t>Fiscal 2022</t>
  </si>
  <si>
    <t>Term loan facility-1)</t>
  </si>
  <si>
    <t>Fiscal 2021</t>
  </si>
  <si>
    <t>Senior notes-1)</t>
  </si>
  <si>
    <t>Fiscal 2020</t>
  </si>
  <si>
    <t>Rate</t>
  </si>
  <si>
    <t>Date</t>
  </si>
  <si>
    <t>Debt 2019Maturities</t>
  </si>
  <si>
    <t>(in thousands)</t>
  </si>
  <si>
    <t>n thousands)</t>
  </si>
  <si>
    <t>Interest</t>
  </si>
  <si>
    <t>Maturity</t>
  </si>
  <si>
    <t xml:space="preserve">financial lease </t>
  </si>
  <si>
    <t>Operating lease</t>
  </si>
  <si>
    <t xml:space="preserve">operating </t>
  </si>
  <si>
    <t>Total Interest Expense</t>
  </si>
  <si>
    <t>Total issuance Repayment</t>
  </si>
  <si>
    <t>Interest Expenses</t>
  </si>
  <si>
    <t>Issue/Repayment</t>
  </si>
  <si>
    <t xml:space="preserve">Common Stock   </t>
  </si>
  <si>
    <t xml:space="preserve">opening </t>
  </si>
  <si>
    <t>Other comprehensive loss, net of tax</t>
  </si>
  <si>
    <t>Cash dividends paid:</t>
  </si>
  <si>
    <t>Common Stock ($1.00 per share)</t>
  </si>
  <si>
    <t>Class B Common Stock ($1.00 per share)</t>
  </si>
  <si>
    <t>Issuance of 19,224 shares of Class B Common Stock</t>
  </si>
  <si>
    <t>Reclassification of stranded tax effects</t>
  </si>
  <si>
    <t xml:space="preserve">Class B Common Stock   </t>
  </si>
  <si>
    <t>Balance on December 30, 2018</t>
  </si>
  <si>
    <t>Issuance of 21,020 shares of Class B Common Stock</t>
  </si>
  <si>
    <t xml:space="preserve">Retained Earnings   </t>
  </si>
  <si>
    <t>Accumulated OTHER Comprehensive Loss</t>
  </si>
  <si>
    <t xml:space="preserve">Treasury Stock - Common Stock   </t>
  </si>
  <si>
    <t xml:space="preserve">Treasury Stock - Class B Common Stock   </t>
  </si>
  <si>
    <t xml:space="preserve">Total Equity of Coca-Cola Consolidated, Inc. </t>
  </si>
  <si>
    <t xml:space="preserve">Non- controlling Interest </t>
  </si>
  <si>
    <t>Balance on January 1, 2017</t>
  </si>
  <si>
    <t xml:space="preserve">Total Equity  </t>
  </si>
  <si>
    <t>Capital in Excess of Par Value</t>
  </si>
  <si>
    <t>Dividend per share</t>
  </si>
  <si>
    <t>derivatives</t>
  </si>
</sst>
</file>

<file path=xl/styles.xml><?xml version="1.0" encoding="utf-8"?>
<styleSheet xmlns="http://schemas.openxmlformats.org/spreadsheetml/2006/main">
  <numFmts count="3">
    <numFmt numFmtId="164" formatCode="0.0000%"/>
    <numFmt numFmtId="165" formatCode="0.000%"/>
    <numFmt numFmtId="166" formatCode="mmm\ yy"/>
  </numFmts>
  <fonts count="4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Verdana"/>
      <family val="2"/>
    </font>
    <font>
      <i/>
      <sz val="11"/>
      <color rgb="FF000000"/>
      <name val="Verdana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u/>
      <sz val="9"/>
      <color rgb="FF000000"/>
      <name val="Times New Roman"/>
      <family val="1"/>
    </font>
    <font>
      <sz val="9.5"/>
      <color rgb="FF000000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9.5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i/>
      <sz val="9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Verdana"/>
      <family val="2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2"/>
      <color rgb="FF000000"/>
      <name val="Verdana"/>
      <family val="2"/>
    </font>
    <font>
      <sz val="12"/>
      <color rgb="FF000000"/>
      <name val="Verdana"/>
      <family val="2"/>
    </font>
    <font>
      <sz val="10"/>
      <color rgb="FF000000"/>
      <name val="Verdana"/>
      <family val="2"/>
    </font>
    <font>
      <b/>
      <u/>
      <sz val="10"/>
      <color rgb="FF000000"/>
      <name val="Verdana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Verdana"/>
      <family val="2"/>
    </font>
    <font>
      <sz val="12"/>
      <color theme="0"/>
      <name val="Calibri"/>
      <family val="2"/>
      <scheme val="minor"/>
    </font>
    <font>
      <sz val="10"/>
      <color rgb="FF212529"/>
      <name val="Times New Roman"/>
      <family val="1"/>
    </font>
    <font>
      <sz val="12"/>
      <color rgb="FF212529"/>
      <name val="Segoe UI"/>
      <family val="2"/>
    </font>
    <font>
      <sz val="1"/>
      <color rgb="FF000000"/>
      <name val="Times New Roman"/>
      <family val="1"/>
    </font>
    <font>
      <b/>
      <sz val="10"/>
      <color theme="1"/>
      <name val="Arial"/>
      <family val="2"/>
    </font>
    <font>
      <b/>
      <sz val="18"/>
      <color theme="0"/>
      <name val="Calibri"/>
      <family val="2"/>
      <scheme val="minor"/>
    </font>
    <font>
      <b/>
      <sz val="8.5"/>
      <color rgb="FF000000"/>
      <name val="Times New Roman"/>
      <family val="1"/>
    </font>
    <font>
      <sz val="8.5"/>
      <color rgb="FF000000"/>
      <name val="Times New Roman"/>
      <family val="1"/>
    </font>
    <font>
      <b/>
      <u/>
      <sz val="8.5"/>
      <color rgb="FF000000"/>
      <name val="Times New Roman"/>
      <family val="1"/>
    </font>
    <font>
      <b/>
      <u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24">
    <xf numFmtId="0" fontId="0" fillId="0" borderId="0" xfId="0"/>
    <xf numFmtId="0" fontId="0" fillId="2" borderId="0" xfId="0" applyFill="1"/>
    <xf numFmtId="0" fontId="2" fillId="3" borderId="0" xfId="0" applyFont="1" applyFill="1"/>
    <xf numFmtId="0" fontId="0" fillId="0" borderId="0" xfId="0" applyAlignment="1">
      <alignment horizontal="center"/>
    </xf>
    <xf numFmtId="17" fontId="1" fillId="0" borderId="0" xfId="0" applyNumberFormat="1" applyFont="1" applyAlignment="1">
      <alignment horizontal="center"/>
    </xf>
    <xf numFmtId="17" fontId="2" fillId="3" borderId="1" xfId="0" applyNumberFormat="1" applyFont="1" applyFill="1" applyBorder="1"/>
    <xf numFmtId="0" fontId="0" fillId="4" borderId="0" xfId="0" applyFill="1"/>
    <xf numFmtId="3" fontId="1" fillId="4" borderId="5" xfId="0" applyNumberFormat="1" applyFont="1" applyFill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7" fontId="2" fillId="3" borderId="7" xfId="0" applyNumberFormat="1" applyFont="1" applyFill="1" applyBorder="1"/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horizontal="right" vertical="center"/>
    </xf>
    <xf numFmtId="3" fontId="5" fillId="5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3" fontId="5" fillId="5" borderId="0" xfId="0" applyNumberFormat="1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right" vertical="center"/>
    </xf>
    <xf numFmtId="0" fontId="0" fillId="0" borderId="0" xfId="0" applyBorder="1"/>
    <xf numFmtId="0" fontId="5" fillId="0" borderId="0" xfId="0" applyFont="1" applyFill="1" applyAlignment="1">
      <alignment horizontal="left" vertical="center" wrapText="1" indent="2"/>
    </xf>
    <xf numFmtId="0" fontId="6" fillId="0" borderId="0" xfId="0" applyFont="1" applyFill="1" applyAlignment="1">
      <alignment vertical="center" wrapText="1"/>
    </xf>
    <xf numFmtId="0" fontId="5" fillId="0" borderId="3" xfId="0" applyFont="1" applyFill="1" applyBorder="1" applyAlignment="1">
      <alignment horizontal="right" vertical="center"/>
    </xf>
    <xf numFmtId="0" fontId="5" fillId="5" borderId="3" xfId="0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 vertical="center"/>
    </xf>
    <xf numFmtId="3" fontId="5" fillId="5" borderId="4" xfId="0" applyNumberFormat="1" applyFont="1" applyFill="1" applyBorder="1" applyAlignment="1">
      <alignment horizontal="right" vertical="center"/>
    </xf>
    <xf numFmtId="0" fontId="5" fillId="5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3" fontId="11" fillId="0" borderId="0" xfId="0" applyNumberFormat="1" applyFont="1" applyFill="1" applyAlignment="1">
      <alignment horizontal="right" wrapText="1"/>
    </xf>
    <xf numFmtId="3" fontId="8" fillId="0" borderId="0" xfId="0" applyNumberFormat="1" applyFont="1" applyFill="1" applyAlignment="1">
      <alignment horizontal="right" vertical="center"/>
    </xf>
    <xf numFmtId="3" fontId="12" fillId="0" borderId="0" xfId="0" applyNumberFormat="1" applyFont="1" applyFill="1"/>
    <xf numFmtId="3" fontId="9" fillId="0" borderId="0" xfId="0" applyNumberFormat="1" applyFont="1" applyFill="1" applyAlignment="1">
      <alignment horizontal="right" vertical="center"/>
    </xf>
    <xf numFmtId="3" fontId="11" fillId="0" borderId="0" xfId="0" applyNumberFormat="1" applyFont="1" applyFill="1" applyAlignment="1">
      <alignment wrapText="1"/>
    </xf>
    <xf numFmtId="0" fontId="10" fillId="0" borderId="0" xfId="0" applyFont="1" applyFill="1" applyAlignment="1">
      <alignment horizontal="left" vertical="center" wrapText="1" indent="2"/>
    </xf>
    <xf numFmtId="0" fontId="8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9" fillId="0" borderId="8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 wrapText="1"/>
    </xf>
    <xf numFmtId="0" fontId="8" fillId="0" borderId="9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right" vertical="center"/>
    </xf>
    <xf numFmtId="3" fontId="8" fillId="0" borderId="8" xfId="0" applyNumberFormat="1" applyFont="1" applyFill="1" applyBorder="1" applyAlignment="1">
      <alignment horizontal="right" vertical="center"/>
    </xf>
    <xf numFmtId="0" fontId="10" fillId="0" borderId="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left" vertical="center" wrapText="1" indent="2"/>
    </xf>
    <xf numFmtId="0" fontId="8" fillId="0" borderId="0" xfId="0" applyFont="1" applyFill="1" applyAlignment="1">
      <alignment horizontal="left" vertical="center" wrapText="1" indent="2"/>
    </xf>
    <xf numFmtId="0" fontId="9" fillId="0" borderId="0" xfId="0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vertical="center" wrapText="1"/>
    </xf>
    <xf numFmtId="3" fontId="6" fillId="0" borderId="7" xfId="0" applyNumberFormat="1" applyFont="1" applyFill="1" applyBorder="1" applyAlignment="1">
      <alignment horizontal="right" vertical="center"/>
    </xf>
    <xf numFmtId="3" fontId="6" fillId="5" borderId="7" xfId="0" applyNumberFormat="1" applyFont="1" applyFill="1" applyBorder="1" applyAlignment="1">
      <alignment horizontal="right" vertical="center"/>
    </xf>
    <xf numFmtId="3" fontId="0" fillId="4" borderId="0" xfId="0" applyNumberFormat="1" applyFill="1"/>
    <xf numFmtId="0" fontId="5" fillId="0" borderId="0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vertical="center" wrapText="1"/>
    </xf>
    <xf numFmtId="3" fontId="6" fillId="0" borderId="10" xfId="0" applyNumberFormat="1" applyFont="1" applyFill="1" applyBorder="1" applyAlignment="1">
      <alignment horizontal="right" vertical="center"/>
    </xf>
    <xf numFmtId="3" fontId="6" fillId="5" borderId="10" xfId="0" applyNumberFormat="1" applyFont="1" applyFill="1" applyBorder="1" applyAlignment="1">
      <alignment horizontal="right" vertical="center"/>
    </xf>
    <xf numFmtId="0" fontId="1" fillId="4" borderId="10" xfId="0" applyFont="1" applyFill="1" applyBorder="1"/>
    <xf numFmtId="0" fontId="0" fillId="4" borderId="6" xfId="0" applyFill="1" applyBorder="1"/>
    <xf numFmtId="1" fontId="0" fillId="4" borderId="0" xfId="0" applyNumberFormat="1" applyFill="1" applyBorder="1"/>
    <xf numFmtId="1" fontId="1" fillId="4" borderId="7" xfId="0" applyNumberFormat="1" applyFont="1" applyFill="1" applyBorder="1"/>
    <xf numFmtId="1" fontId="1" fillId="4" borderId="10" xfId="0" applyNumberFormat="1" applyFont="1" applyFill="1" applyBorder="1"/>
    <xf numFmtId="3" fontId="9" fillId="0" borderId="8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left" vertical="center" wrapText="1" indent="2"/>
    </xf>
    <xf numFmtId="3" fontId="14" fillId="0" borderId="10" xfId="0" applyNumberFormat="1" applyFont="1" applyFill="1" applyBorder="1" applyAlignment="1">
      <alignment horizontal="right" wrapText="1"/>
    </xf>
    <xf numFmtId="3" fontId="13" fillId="0" borderId="10" xfId="0" applyNumberFormat="1" applyFont="1" applyFill="1" applyBorder="1" applyAlignment="1">
      <alignment horizontal="right" vertical="center"/>
    </xf>
    <xf numFmtId="3" fontId="15" fillId="0" borderId="10" xfId="0" applyNumberFormat="1" applyFont="1" applyFill="1" applyBorder="1"/>
    <xf numFmtId="3" fontId="10" fillId="0" borderId="1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3" fontId="15" fillId="0" borderId="7" xfId="0" applyNumberFormat="1" applyFont="1" applyFill="1" applyBorder="1"/>
    <xf numFmtId="0" fontId="10" fillId="0" borderId="0" xfId="0" applyFont="1" applyFill="1" applyBorder="1" applyAlignment="1">
      <alignment horizontal="left" vertical="center" wrapText="1" indent="2"/>
    </xf>
    <xf numFmtId="3" fontId="14" fillId="0" borderId="0" xfId="0" applyNumberFormat="1" applyFont="1" applyFill="1" applyBorder="1" applyAlignment="1">
      <alignment horizontal="right" wrapText="1"/>
    </xf>
    <xf numFmtId="3" fontId="13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/>
    <xf numFmtId="3" fontId="10" fillId="0" borderId="0" xfId="0" applyNumberFormat="1" applyFont="1" applyFill="1" applyBorder="1" applyAlignment="1">
      <alignment horizontal="right" vertical="center"/>
    </xf>
    <xf numFmtId="3" fontId="13" fillId="0" borderId="5" xfId="0" applyNumberFormat="1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3" fontId="14" fillId="0" borderId="7" xfId="0" applyNumberFormat="1" applyFont="1" applyFill="1" applyBorder="1" applyAlignment="1">
      <alignment horizontal="right" wrapText="1"/>
    </xf>
    <xf numFmtId="3" fontId="13" fillId="0" borderId="7" xfId="0" applyNumberFormat="1" applyFont="1" applyFill="1" applyBorder="1" applyAlignment="1">
      <alignment horizontal="right" vertical="center"/>
    </xf>
    <xf numFmtId="3" fontId="10" fillId="0" borderId="7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/>
    <xf numFmtId="0" fontId="9" fillId="0" borderId="0" xfId="0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horizontal="right" wrapText="1"/>
    </xf>
    <xf numFmtId="0" fontId="0" fillId="4" borderId="7" xfId="0" applyFill="1" applyBorder="1"/>
    <xf numFmtId="0" fontId="10" fillId="0" borderId="12" xfId="0" applyFont="1" applyFill="1" applyBorder="1" applyAlignment="1">
      <alignment horizontal="left" vertical="center" wrapText="1" indent="2"/>
    </xf>
    <xf numFmtId="3" fontId="11" fillId="0" borderId="12" xfId="0" applyNumberFormat="1" applyFont="1" applyFill="1" applyBorder="1" applyAlignment="1">
      <alignment horizontal="right" wrapText="1"/>
    </xf>
    <xf numFmtId="3" fontId="13" fillId="0" borderId="12" xfId="0" applyNumberFormat="1" applyFont="1" applyFill="1" applyBorder="1" applyAlignment="1">
      <alignment horizontal="right" vertical="center"/>
    </xf>
    <xf numFmtId="3" fontId="12" fillId="0" borderId="12" xfId="0" applyNumberFormat="1" applyFont="1" applyFill="1" applyBorder="1"/>
    <xf numFmtId="3" fontId="10" fillId="0" borderId="12" xfId="0" applyNumberFormat="1" applyFont="1" applyFill="1" applyBorder="1" applyAlignment="1">
      <alignment horizontal="right" vertical="center"/>
    </xf>
    <xf numFmtId="0" fontId="0" fillId="0" borderId="11" xfId="0" applyBorder="1"/>
    <xf numFmtId="3" fontId="0" fillId="0" borderId="5" xfId="0" applyNumberFormat="1" applyBorder="1"/>
    <xf numFmtId="1" fontId="0" fillId="4" borderId="0" xfId="0" applyNumberFormat="1" applyFill="1"/>
    <xf numFmtId="1" fontId="9" fillId="0" borderId="0" xfId="0" applyNumberFormat="1" applyFont="1" applyFill="1" applyAlignment="1">
      <alignment horizontal="right" vertical="center"/>
    </xf>
    <xf numFmtId="1" fontId="1" fillId="4" borderId="0" xfId="0" applyNumberFormat="1" applyFont="1" applyFill="1" applyBorder="1"/>
    <xf numFmtId="1" fontId="0" fillId="4" borderId="12" xfId="0" applyNumberFormat="1" applyFill="1" applyBorder="1"/>
    <xf numFmtId="1" fontId="0" fillId="0" borderId="5" xfId="0" applyNumberFormat="1" applyBorder="1"/>
    <xf numFmtId="0" fontId="1" fillId="0" borderId="10" xfId="0" applyFont="1" applyBorder="1"/>
    <xf numFmtId="0" fontId="10" fillId="0" borderId="11" xfId="0" applyFont="1" applyFill="1" applyBorder="1" applyAlignment="1">
      <alignment vertical="center" wrapText="1"/>
    </xf>
    <xf numFmtId="0" fontId="0" fillId="6" borderId="0" xfId="0" applyFill="1"/>
    <xf numFmtId="0" fontId="17" fillId="0" borderId="0" xfId="0" applyFont="1" applyBorder="1"/>
    <xf numFmtId="0" fontId="17" fillId="6" borderId="0" xfId="0" applyFont="1" applyFill="1" applyBorder="1"/>
    <xf numFmtId="0" fontId="0" fillId="6" borderId="0" xfId="0" applyFill="1" applyBorder="1"/>
    <xf numFmtId="0" fontId="17" fillId="7" borderId="0" xfId="0" applyFont="1" applyFill="1" applyBorder="1"/>
    <xf numFmtId="0" fontId="18" fillId="7" borderId="0" xfId="0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0" fontId="19" fillId="0" borderId="0" xfId="0" applyFont="1"/>
    <xf numFmtId="3" fontId="20" fillId="7" borderId="0" xfId="0" applyNumberFormat="1" applyFont="1" applyFill="1" applyBorder="1"/>
    <xf numFmtId="0" fontId="20" fillId="0" borderId="0" xfId="0" applyFont="1" applyFill="1" applyBorder="1"/>
    <xf numFmtId="0" fontId="21" fillId="0" borderId="0" xfId="0" applyFont="1" applyFill="1" applyBorder="1"/>
    <xf numFmtId="0" fontId="22" fillId="0" borderId="0" xfId="0" applyFont="1" applyFill="1" applyBorder="1" applyAlignment="1">
      <alignment vertical="top"/>
    </xf>
    <xf numFmtId="0" fontId="20" fillId="7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right"/>
    </xf>
    <xf numFmtId="3" fontId="24" fillId="0" borderId="0" xfId="0" applyNumberFormat="1" applyFont="1" applyFill="1" applyBorder="1" applyAlignment="1">
      <alignment horizontal="right"/>
    </xf>
    <xf numFmtId="3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vertical="top"/>
    </xf>
    <xf numFmtId="3" fontId="18" fillId="7" borderId="0" xfId="0" applyNumberFormat="1" applyFont="1" applyFill="1" applyBorder="1"/>
    <xf numFmtId="0" fontId="24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vertical="top"/>
    </xf>
    <xf numFmtId="0" fontId="1" fillId="0" borderId="0" xfId="0" applyFont="1"/>
    <xf numFmtId="0" fontId="1" fillId="6" borderId="0" xfId="0" applyFont="1" applyFill="1"/>
    <xf numFmtId="0" fontId="21" fillId="0" borderId="0" xfId="0" applyFont="1"/>
    <xf numFmtId="3" fontId="21" fillId="0" borderId="0" xfId="0" applyNumberFormat="1" applyFont="1" applyFill="1" applyBorder="1"/>
    <xf numFmtId="3" fontId="20" fillId="0" borderId="0" xfId="0" applyNumberFormat="1" applyFont="1" applyFill="1" applyBorder="1"/>
    <xf numFmtId="3" fontId="18" fillId="8" borderId="5" xfId="0" applyNumberFormat="1" applyFont="1" applyFill="1" applyBorder="1"/>
    <xf numFmtId="3" fontId="27" fillId="8" borderId="5" xfId="0" applyNumberFormat="1" applyFont="1" applyFill="1" applyBorder="1" applyAlignment="1">
      <alignment horizontal="right" vertical="center"/>
    </xf>
    <xf numFmtId="0" fontId="0" fillId="8" borderId="5" xfId="0" applyFill="1" applyBorder="1"/>
    <xf numFmtId="0" fontId="6" fillId="8" borderId="11" xfId="0" applyFont="1" applyFill="1" applyBorder="1" applyAlignment="1">
      <alignment vertical="center" wrapText="1"/>
    </xf>
    <xf numFmtId="3" fontId="28" fillId="5" borderId="0" xfId="0" applyNumberFormat="1" applyFont="1" applyFill="1" applyBorder="1" applyAlignment="1">
      <alignment horizontal="right" vertical="center"/>
    </xf>
    <xf numFmtId="0" fontId="5" fillId="5" borderId="0" xfId="0" applyFont="1" applyFill="1" applyAlignment="1">
      <alignment vertical="center" wrapText="1"/>
    </xf>
    <xf numFmtId="10" fontId="18" fillId="7" borderId="0" xfId="0" applyNumberFormat="1" applyFont="1" applyFill="1" applyBorder="1"/>
    <xf numFmtId="10" fontId="28" fillId="5" borderId="0" xfId="0" applyNumberFormat="1" applyFont="1" applyFill="1" applyBorder="1" applyAlignment="1">
      <alignment horizontal="right" vertical="center"/>
    </xf>
    <xf numFmtId="1" fontId="18" fillId="8" borderId="0" xfId="0" applyNumberFormat="1" applyFont="1" applyFill="1" applyBorder="1"/>
    <xf numFmtId="3" fontId="28" fillId="8" borderId="0" xfId="0" applyNumberFormat="1" applyFont="1" applyFill="1" applyBorder="1" applyAlignment="1">
      <alignment horizontal="right" vertical="center"/>
    </xf>
    <xf numFmtId="0" fontId="0" fillId="8" borderId="0" xfId="0" applyFill="1" applyBorder="1"/>
    <xf numFmtId="0" fontId="5" fillId="8" borderId="0" xfId="0" applyFont="1" applyFill="1" applyAlignment="1">
      <alignment vertical="center" wrapText="1"/>
    </xf>
    <xf numFmtId="0" fontId="6" fillId="5" borderId="0" xfId="0" applyFont="1" applyFill="1" applyAlignment="1">
      <alignment vertical="center" wrapText="1"/>
    </xf>
    <xf numFmtId="0" fontId="5" fillId="5" borderId="0" xfId="0" applyFont="1" applyFill="1" applyAlignment="1">
      <alignment horizontal="right" vertical="center" wrapText="1"/>
    </xf>
    <xf numFmtId="3" fontId="29" fillId="8" borderId="5" xfId="0" applyNumberFormat="1" applyFont="1" applyFill="1" applyBorder="1" applyAlignment="1">
      <alignment horizontal="right" vertical="center"/>
    </xf>
    <xf numFmtId="0" fontId="0" fillId="8" borderId="5" xfId="0" applyFont="1" applyFill="1" applyBorder="1"/>
    <xf numFmtId="0" fontId="30" fillId="8" borderId="11" xfId="0" applyFont="1" applyFill="1" applyBorder="1" applyAlignment="1">
      <alignment vertical="center" wrapText="1"/>
    </xf>
    <xf numFmtId="3" fontId="31" fillId="7" borderId="5" xfId="0" applyNumberFormat="1" applyFont="1" applyFill="1" applyBorder="1"/>
    <xf numFmtId="3" fontId="29" fillId="5" borderId="5" xfId="0" applyNumberFormat="1" applyFont="1" applyFill="1" applyBorder="1" applyAlignment="1">
      <alignment horizontal="right" vertical="center"/>
    </xf>
    <xf numFmtId="0" fontId="0" fillId="0" borderId="5" xfId="0" applyFont="1" applyBorder="1"/>
    <xf numFmtId="0" fontId="30" fillId="5" borderId="11" xfId="0" applyFont="1" applyFill="1" applyBorder="1" applyAlignment="1">
      <alignment vertical="center" wrapText="1"/>
    </xf>
    <xf numFmtId="164" fontId="18" fillId="7" borderId="0" xfId="0" applyNumberFormat="1" applyFont="1" applyFill="1" applyBorder="1"/>
    <xf numFmtId="164" fontId="28" fillId="5" borderId="0" xfId="0" applyNumberFormat="1" applyFont="1" applyFill="1" applyBorder="1" applyAlignment="1">
      <alignment horizontal="right" vertical="center"/>
    </xf>
    <xf numFmtId="0" fontId="5" fillId="5" borderId="0" xfId="0" applyFont="1" applyFill="1" applyBorder="1" applyAlignment="1">
      <alignment vertical="center" wrapText="1"/>
    </xf>
    <xf numFmtId="3" fontId="18" fillId="7" borderId="13" xfId="0" applyNumberFormat="1" applyFont="1" applyFill="1" applyBorder="1"/>
    <xf numFmtId="3" fontId="28" fillId="5" borderId="8" xfId="0" applyNumberFormat="1" applyFont="1" applyFill="1" applyBorder="1" applyAlignment="1">
      <alignment horizontal="right" vertical="center"/>
    </xf>
    <xf numFmtId="0" fontId="0" fillId="0" borderId="13" xfId="0" applyBorder="1"/>
    <xf numFmtId="0" fontId="5" fillId="5" borderId="13" xfId="0" applyFont="1" applyFill="1" applyBorder="1" applyAlignment="1">
      <alignment horizontal="left" vertical="center" wrapText="1" indent="1"/>
    </xf>
    <xf numFmtId="1" fontId="18" fillId="7" borderId="0" xfId="0" applyNumberFormat="1" applyFont="1" applyFill="1" applyBorder="1"/>
    <xf numFmtId="0" fontId="5" fillId="5" borderId="0" xfId="0" applyFont="1" applyFill="1" applyBorder="1" applyAlignment="1">
      <alignment horizontal="left" vertical="center" wrapText="1" indent="1"/>
    </xf>
    <xf numFmtId="3" fontId="28" fillId="5" borderId="0" xfId="0" applyNumberFormat="1" applyFont="1" applyFill="1" applyAlignment="1">
      <alignment horizontal="right" vertical="center"/>
    </xf>
    <xf numFmtId="10" fontId="0" fillId="0" borderId="0" xfId="0" applyNumberFormat="1"/>
    <xf numFmtId="0" fontId="5" fillId="5" borderId="0" xfId="0" applyFont="1" applyFill="1" applyBorder="1" applyAlignment="1">
      <alignment horizontal="right" vertical="center" wrapText="1"/>
    </xf>
    <xf numFmtId="0" fontId="6" fillId="5" borderId="8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horizontal="right" vertical="center" wrapText="1"/>
    </xf>
    <xf numFmtId="15" fontId="27" fillId="5" borderId="9" xfId="0" applyNumberFormat="1" applyFont="1" applyFill="1" applyBorder="1" applyAlignment="1">
      <alignment vertical="center" wrapText="1"/>
    </xf>
    <xf numFmtId="0" fontId="14" fillId="0" borderId="14" xfId="0" applyFont="1" applyBorder="1"/>
    <xf numFmtId="0" fontId="6" fillId="5" borderId="9" xfId="0" applyFont="1" applyFill="1" applyBorder="1" applyAlignment="1">
      <alignment horizontal="center" vertical="center" wrapText="1"/>
    </xf>
    <xf numFmtId="0" fontId="18" fillId="7" borderId="0" xfId="0" applyFont="1" applyFill="1"/>
    <xf numFmtId="0" fontId="18" fillId="0" borderId="0" xfId="0" applyFont="1" applyFill="1"/>
    <xf numFmtId="0" fontId="19" fillId="0" borderId="0" xfId="0" applyFont="1" applyFill="1"/>
    <xf numFmtId="0" fontId="18" fillId="0" borderId="0" xfId="0" applyFont="1"/>
    <xf numFmtId="166" fontId="32" fillId="9" borderId="0" xfId="0" applyNumberFormat="1" applyFont="1" applyFill="1"/>
    <xf numFmtId="166" fontId="32" fillId="9" borderId="15" xfId="0" applyNumberFormat="1" applyFont="1" applyFill="1" applyBorder="1"/>
    <xf numFmtId="166" fontId="2" fillId="9" borderId="15" xfId="0" applyNumberFormat="1" applyFont="1" applyFill="1" applyBorder="1"/>
    <xf numFmtId="0" fontId="2" fillId="9" borderId="0" xfId="0" applyFont="1" applyFill="1"/>
    <xf numFmtId="0" fontId="32" fillId="9" borderId="0" xfId="0" applyFont="1" applyFill="1"/>
    <xf numFmtId="0" fontId="32" fillId="9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17" fillId="6" borderId="0" xfId="0" applyFont="1" applyFill="1"/>
    <xf numFmtId="0" fontId="33" fillId="0" borderId="0" xfId="0" applyFont="1" applyFill="1" applyAlignment="1">
      <alignment horizontal="justify" vertical="center" wrapText="1"/>
    </xf>
    <xf numFmtId="3" fontId="1" fillId="0" borderId="10" xfId="0" applyNumberFormat="1" applyFont="1" applyBorder="1"/>
    <xf numFmtId="0" fontId="6" fillId="0" borderId="0" xfId="0" applyFont="1" applyFill="1" applyAlignment="1">
      <alignment horizontal="right" vertical="center"/>
    </xf>
    <xf numFmtId="3" fontId="6" fillId="0" borderId="16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wrapText="1"/>
    </xf>
    <xf numFmtId="3" fontId="0" fillId="0" borderId="0" xfId="0" applyNumberFormat="1" applyBorder="1"/>
    <xf numFmtId="3" fontId="0" fillId="0" borderId="17" xfId="0" applyNumberFormat="1" applyBorder="1"/>
    <xf numFmtId="3" fontId="0" fillId="0" borderId="0" xfId="0" applyNumberFormat="1"/>
    <xf numFmtId="3" fontId="5" fillId="0" borderId="9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3" fontId="1" fillId="0" borderId="0" xfId="0" applyNumberFormat="1" applyFont="1"/>
    <xf numFmtId="14" fontId="5" fillId="0" borderId="0" xfId="0" applyNumberFormat="1" applyFont="1" applyFill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right" vertical="center"/>
    </xf>
    <xf numFmtId="3" fontId="0" fillId="0" borderId="18" xfId="0" applyNumberFormat="1" applyBorder="1"/>
    <xf numFmtId="3" fontId="5" fillId="0" borderId="19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3" fontId="0" fillId="0" borderId="10" xfId="0" applyNumberFormat="1" applyBorder="1"/>
    <xf numFmtId="10" fontId="5" fillId="0" borderId="0" xfId="0" applyNumberFormat="1" applyFont="1" applyFill="1" applyAlignment="1">
      <alignment vertical="center" wrapText="1"/>
    </xf>
    <xf numFmtId="3" fontId="6" fillId="0" borderId="19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6" fillId="0" borderId="0" xfId="0" applyFont="1" applyFill="1" applyAlignment="1">
      <alignment horizontal="left" vertical="center" wrapText="1"/>
    </xf>
    <xf numFmtId="3" fontId="5" fillId="10" borderId="0" xfId="0" applyNumberFormat="1" applyFont="1" applyFill="1" applyAlignment="1">
      <alignment horizontal="right" vertical="center"/>
    </xf>
    <xf numFmtId="14" fontId="5" fillId="10" borderId="0" xfId="0" applyNumberFormat="1" applyFont="1" applyFill="1" applyAlignment="1">
      <alignment horizontal="center" vertical="center" wrapText="1"/>
    </xf>
    <xf numFmtId="10" fontId="5" fillId="0" borderId="8" xfId="0" applyNumberFormat="1" applyFont="1" applyFill="1" applyBorder="1" applyAlignment="1">
      <alignment vertical="center" wrapText="1"/>
    </xf>
    <xf numFmtId="3" fontId="5" fillId="0" borderId="8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16" fontId="16" fillId="0" borderId="9" xfId="0" applyNumberFormat="1" applyFont="1" applyFill="1" applyBorder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0" fillId="7" borderId="0" xfId="0" applyFill="1"/>
    <xf numFmtId="3" fontId="0" fillId="7" borderId="0" xfId="0" applyNumberFormat="1" applyFill="1"/>
    <xf numFmtId="3" fontId="6" fillId="0" borderId="0" xfId="0" applyNumberFormat="1" applyFont="1" applyFill="1" applyBorder="1" applyAlignment="1">
      <alignment horizontal="right" vertical="center"/>
    </xf>
    <xf numFmtId="3" fontId="0" fillId="7" borderId="10" xfId="0" applyNumberFormat="1" applyFill="1" applyBorder="1"/>
    <xf numFmtId="165" fontId="5" fillId="0" borderId="0" xfId="0" applyNumberFormat="1" applyFont="1" applyFill="1" applyAlignment="1">
      <alignment horizontal="right" vertical="center"/>
    </xf>
    <xf numFmtId="1" fontId="0" fillId="7" borderId="0" xfId="0" applyNumberFormat="1" applyFill="1"/>
    <xf numFmtId="0" fontId="27" fillId="0" borderId="0" xfId="0" applyFont="1" applyFill="1" applyAlignment="1">
      <alignment vertical="center" wrapText="1"/>
    </xf>
    <xf numFmtId="0" fontId="27" fillId="0" borderId="0" xfId="0" applyFont="1" applyFill="1" applyAlignment="1">
      <alignment vertical="center"/>
    </xf>
    <xf numFmtId="14" fontId="27" fillId="0" borderId="0" xfId="0" applyNumberFormat="1" applyFont="1" applyFill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right" vertical="center"/>
    </xf>
    <xf numFmtId="0" fontId="0" fillId="0" borderId="17" xfId="0" applyBorder="1"/>
    <xf numFmtId="0" fontId="5" fillId="0" borderId="20" xfId="0" applyFont="1" applyFill="1" applyBorder="1" applyAlignment="1">
      <alignment vertical="center" wrapText="1"/>
    </xf>
    <xf numFmtId="3" fontId="5" fillId="0" borderId="13" xfId="0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vertical="center" wrapText="1"/>
    </xf>
    <xf numFmtId="10" fontId="27" fillId="0" borderId="0" xfId="0" applyNumberFormat="1" applyFont="1" applyFill="1" applyAlignment="1">
      <alignment vertical="center" wrapText="1"/>
    </xf>
    <xf numFmtId="9" fontId="27" fillId="0" borderId="0" xfId="0" applyNumberFormat="1" applyFont="1" applyFill="1" applyAlignment="1">
      <alignment vertical="center" wrapText="1"/>
    </xf>
    <xf numFmtId="14" fontId="27" fillId="10" borderId="0" xfId="0" applyNumberFormat="1" applyFont="1" applyFill="1" applyAlignment="1">
      <alignment horizontal="center" vertical="center" wrapText="1"/>
    </xf>
    <xf numFmtId="0" fontId="0" fillId="7" borderId="21" xfId="0" applyFill="1" applyBorder="1"/>
    <xf numFmtId="0" fontId="0" fillId="7" borderId="17" xfId="0" applyFill="1" applyBorder="1"/>
    <xf numFmtId="10" fontId="5" fillId="0" borderId="0" xfId="0" applyNumberFormat="1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right" vertical="center"/>
    </xf>
    <xf numFmtId="0" fontId="0" fillId="5" borderId="0" xfId="0" applyFill="1"/>
    <xf numFmtId="10" fontId="27" fillId="0" borderId="8" xfId="0" applyNumberFormat="1" applyFont="1" applyFill="1" applyBorder="1" applyAlignment="1">
      <alignment vertical="center" wrapText="1"/>
    </xf>
    <xf numFmtId="166" fontId="2" fillId="9" borderId="0" xfId="0" applyNumberFormat="1" applyFont="1" applyFill="1"/>
    <xf numFmtId="0" fontId="33" fillId="5" borderId="0" xfId="0" applyFont="1" applyFill="1" applyAlignment="1">
      <alignment horizontal="left" vertical="center" wrapText="1"/>
    </xf>
    <xf numFmtId="0" fontId="35" fillId="5" borderId="0" xfId="0" applyFont="1" applyFill="1" applyAlignment="1">
      <alignment horizontal="right" vertical="center" wrapText="1"/>
    </xf>
    <xf numFmtId="3" fontId="6" fillId="5" borderId="16" xfId="0" applyNumberFormat="1" applyFont="1" applyFill="1" applyBorder="1" applyAlignment="1">
      <alignment horizontal="right" vertical="center"/>
    </xf>
    <xf numFmtId="3" fontId="5" fillId="5" borderId="9" xfId="0" applyNumberFormat="1" applyFont="1" applyFill="1" applyBorder="1" applyAlignment="1">
      <alignment horizontal="right" vertical="center"/>
    </xf>
    <xf numFmtId="3" fontId="5" fillId="5" borderId="8" xfId="0" applyNumberFormat="1" applyFont="1" applyFill="1" applyBorder="1" applyAlignment="1">
      <alignment horizontal="right" vertical="center"/>
    </xf>
    <xf numFmtId="0" fontId="5" fillId="5" borderId="8" xfId="0" applyFont="1" applyFill="1" applyBorder="1" applyAlignment="1">
      <alignment vertical="center" wrapText="1"/>
    </xf>
    <xf numFmtId="15" fontId="6" fillId="5" borderId="9" xfId="0" applyNumberFormat="1" applyFont="1" applyFill="1" applyBorder="1" applyAlignment="1">
      <alignment vertical="center" wrapText="1"/>
    </xf>
    <xf numFmtId="0" fontId="36" fillId="0" borderId="14" xfId="0" applyFont="1" applyBorder="1"/>
    <xf numFmtId="3" fontId="19" fillId="10" borderId="5" xfId="0" applyNumberFormat="1" applyFont="1" applyFill="1" applyBorder="1"/>
    <xf numFmtId="1" fontId="0" fillId="10" borderId="0" xfId="0" applyNumberFormat="1" applyFill="1"/>
    <xf numFmtId="1" fontId="0" fillId="11" borderId="0" xfId="0" applyNumberFormat="1" applyFill="1" applyBorder="1"/>
    <xf numFmtId="1" fontId="0" fillId="11" borderId="0" xfId="0" applyNumberFormat="1" applyFill="1"/>
    <xf numFmtId="3" fontId="0" fillId="11" borderId="0" xfId="0" applyNumberFormat="1" applyFill="1"/>
    <xf numFmtId="0" fontId="2" fillId="3" borderId="2" xfId="0" applyFont="1" applyFill="1" applyBorder="1" applyAlignment="1">
      <alignment horizontal="center"/>
    </xf>
    <xf numFmtId="0" fontId="37" fillId="3" borderId="0" xfId="0" applyFont="1" applyFill="1"/>
    <xf numFmtId="0" fontId="32" fillId="3" borderId="2" xfId="0" applyFont="1" applyFill="1" applyBorder="1" applyAlignment="1">
      <alignment horizontal="center"/>
    </xf>
    <xf numFmtId="17" fontId="2" fillId="3" borderId="0" xfId="0" applyNumberFormat="1" applyFont="1" applyFill="1" applyBorder="1"/>
    <xf numFmtId="0" fontId="2" fillId="3" borderId="0" xfId="0" applyFont="1" applyFill="1" applyBorder="1"/>
    <xf numFmtId="0" fontId="9" fillId="10" borderId="0" xfId="0" applyFont="1" applyFill="1" applyAlignment="1">
      <alignment vertical="center" wrapText="1"/>
    </xf>
    <xf numFmtId="0" fontId="0" fillId="10" borderId="0" xfId="0" applyFill="1"/>
    <xf numFmtId="3" fontId="12" fillId="10" borderId="0" xfId="0" applyNumberFormat="1" applyFont="1" applyFill="1"/>
    <xf numFmtId="3" fontId="9" fillId="10" borderId="0" xfId="0" applyNumberFormat="1" applyFont="1" applyFill="1" applyAlignment="1">
      <alignment horizontal="right" vertical="center"/>
    </xf>
    <xf numFmtId="3" fontId="11" fillId="10" borderId="0" xfId="0" applyNumberFormat="1" applyFont="1" applyFill="1" applyAlignment="1">
      <alignment horizontal="right" wrapText="1"/>
    </xf>
    <xf numFmtId="3" fontId="8" fillId="10" borderId="0" xfId="0" applyNumberFormat="1" applyFont="1" applyFill="1" applyBorder="1" applyAlignment="1">
      <alignment horizontal="right" vertical="center"/>
    </xf>
    <xf numFmtId="3" fontId="9" fillId="10" borderId="0" xfId="0" applyNumberFormat="1" applyFont="1" applyFill="1" applyBorder="1" applyAlignment="1">
      <alignment horizontal="right" vertical="center"/>
    </xf>
    <xf numFmtId="3" fontId="8" fillId="10" borderId="0" xfId="0" applyNumberFormat="1" applyFont="1" applyFill="1" applyAlignment="1">
      <alignment horizontal="right" vertical="center"/>
    </xf>
    <xf numFmtId="0" fontId="8" fillId="10" borderId="0" xfId="0" applyFont="1" applyFill="1" applyAlignment="1">
      <alignment vertical="center" wrapText="1"/>
    </xf>
    <xf numFmtId="0" fontId="9" fillId="10" borderId="0" xfId="0" applyFont="1" applyFill="1" applyAlignment="1">
      <alignment horizontal="right" vertical="center"/>
    </xf>
    <xf numFmtId="0" fontId="1" fillId="0" borderId="0" xfId="0" applyFont="1" applyFill="1"/>
    <xf numFmtId="0" fontId="0" fillId="0" borderId="0" xfId="0" applyFill="1" applyBorder="1"/>
    <xf numFmtId="0" fontId="38" fillId="0" borderId="0" xfId="0" applyFont="1" applyFill="1" applyAlignment="1">
      <alignment vertical="top"/>
    </xf>
    <xf numFmtId="3" fontId="38" fillId="0" borderId="0" xfId="0" applyNumberFormat="1" applyFont="1" applyFill="1" applyBorder="1" applyAlignment="1">
      <alignment horizontal="right"/>
    </xf>
    <xf numFmtId="0" fontId="39" fillId="0" borderId="0" xfId="0" applyFont="1" applyFill="1" applyAlignment="1">
      <alignment vertical="top"/>
    </xf>
    <xf numFmtId="0" fontId="9" fillId="0" borderId="0" xfId="0" applyFont="1" applyFill="1" applyBorder="1" applyAlignment="1">
      <alignment horizontal="right"/>
    </xf>
    <xf numFmtId="0" fontId="39" fillId="0" borderId="0" xfId="0" applyFont="1" applyFill="1" applyAlignment="1">
      <alignment horizontal="left" vertical="top"/>
    </xf>
    <xf numFmtId="0" fontId="38" fillId="0" borderId="0" xfId="0" applyFont="1" applyFill="1" applyAlignment="1"/>
    <xf numFmtId="3" fontId="38" fillId="0" borderId="10" xfId="0" applyNumberFormat="1" applyFont="1" applyFill="1" applyBorder="1" applyAlignment="1">
      <alignment horizontal="right"/>
    </xf>
    <xf numFmtId="0" fontId="1" fillId="0" borderId="0" xfId="0" applyFont="1" applyFill="1" applyBorder="1"/>
    <xf numFmtId="3" fontId="9" fillId="0" borderId="0" xfId="0" applyNumberFormat="1" applyFont="1" applyFill="1" applyBorder="1" applyAlignment="1">
      <alignment horizontal="right"/>
    </xf>
    <xf numFmtId="0" fontId="38" fillId="0" borderId="0" xfId="0" applyFont="1" applyFill="1" applyBorder="1" applyAlignment="1">
      <alignment horizontal="right"/>
    </xf>
    <xf numFmtId="0" fontId="38" fillId="0" borderId="10" xfId="0" applyFont="1" applyFill="1" applyBorder="1" applyAlignment="1">
      <alignment horizontal="right"/>
    </xf>
    <xf numFmtId="0" fontId="38" fillId="0" borderId="13" xfId="0" applyFont="1" applyFill="1" applyBorder="1" applyAlignment="1"/>
    <xf numFmtId="0" fontId="0" fillId="0" borderId="13" xfId="0" applyFill="1" applyBorder="1"/>
    <xf numFmtId="3" fontId="38" fillId="0" borderId="13" xfId="0" applyNumberFormat="1" applyFont="1" applyFill="1" applyBorder="1" applyAlignment="1">
      <alignment horizontal="right"/>
    </xf>
    <xf numFmtId="0" fontId="40" fillId="0" borderId="0" xfId="0" applyFont="1" applyFill="1" applyAlignment="1">
      <alignment vertical="top"/>
    </xf>
    <xf numFmtId="3" fontId="0" fillId="0" borderId="0" xfId="0" applyNumberFormat="1" applyFill="1" applyBorder="1"/>
    <xf numFmtId="0" fontId="39" fillId="10" borderId="0" xfId="0" applyFont="1" applyFill="1" applyAlignment="1">
      <alignment horizontal="left" vertical="top"/>
    </xf>
    <xf numFmtId="0" fontId="0" fillId="10" borderId="0" xfId="0" applyFill="1" applyBorder="1"/>
    <xf numFmtId="3" fontId="9" fillId="10" borderId="0" xfId="0" applyNumberFormat="1" applyFont="1" applyFill="1" applyBorder="1" applyAlignment="1">
      <alignment horizontal="right"/>
    </xf>
    <xf numFmtId="0" fontId="0" fillId="0" borderId="22" xfId="0" applyBorder="1"/>
    <xf numFmtId="0" fontId="0" fillId="4" borderId="22" xfId="0" applyFill="1" applyBorder="1"/>
    <xf numFmtId="0" fontId="39" fillId="10" borderId="0" xfId="0" applyFont="1" applyFill="1" applyAlignment="1">
      <alignment vertical="top"/>
    </xf>
    <xf numFmtId="0" fontId="1" fillId="0" borderId="23" xfId="0" applyFont="1" applyFill="1" applyBorder="1"/>
    <xf numFmtId="0" fontId="0" fillId="0" borderId="23" xfId="0" applyFill="1" applyBorder="1"/>
    <xf numFmtId="0" fontId="38" fillId="0" borderId="23" xfId="0" applyFont="1" applyFill="1" applyBorder="1" applyAlignment="1">
      <alignment vertical="top"/>
    </xf>
    <xf numFmtId="3" fontId="38" fillId="0" borderId="23" xfId="0" applyNumberFormat="1" applyFont="1" applyFill="1" applyBorder="1" applyAlignment="1">
      <alignment horizontal="right"/>
    </xf>
    <xf numFmtId="0" fontId="38" fillId="0" borderId="11" xfId="0" applyFont="1" applyFill="1" applyBorder="1" applyAlignment="1">
      <alignment vertical="top"/>
    </xf>
    <xf numFmtId="0" fontId="0" fillId="0" borderId="5" xfId="0" applyFill="1" applyBorder="1"/>
    <xf numFmtId="3" fontId="38" fillId="0" borderId="5" xfId="0" applyNumberFormat="1" applyFont="1" applyFill="1" applyBorder="1" applyAlignment="1">
      <alignment horizontal="right"/>
    </xf>
    <xf numFmtId="0" fontId="41" fillId="0" borderId="0" xfId="0" applyFont="1" applyFill="1"/>
    <xf numFmtId="0" fontId="1" fillId="0" borderId="25" xfId="0" applyFont="1" applyFill="1" applyBorder="1"/>
    <xf numFmtId="0" fontId="38" fillId="0" borderId="27" xfId="0" applyFont="1" applyFill="1" applyBorder="1" applyAlignment="1">
      <alignment vertical="top"/>
    </xf>
    <xf numFmtId="0" fontId="39" fillId="0" borderId="27" xfId="0" applyFont="1" applyFill="1" applyBorder="1" applyAlignment="1">
      <alignment vertical="top"/>
    </xf>
    <xf numFmtId="0" fontId="39" fillId="0" borderId="27" xfId="0" applyFont="1" applyFill="1" applyBorder="1" applyAlignment="1">
      <alignment horizontal="left" vertical="top"/>
    </xf>
    <xf numFmtId="0" fontId="0" fillId="12" borderId="0" xfId="0" applyFill="1"/>
    <xf numFmtId="3" fontId="0" fillId="12" borderId="0" xfId="0" applyNumberFormat="1" applyFill="1"/>
    <xf numFmtId="3" fontId="0" fillId="12" borderId="13" xfId="0" applyNumberFormat="1" applyFill="1" applyBorder="1"/>
    <xf numFmtId="1" fontId="0" fillId="12" borderId="0" xfId="0" applyNumberFormat="1" applyFill="1"/>
    <xf numFmtId="3" fontId="1" fillId="12" borderId="13" xfId="0" applyNumberFormat="1" applyFont="1" applyFill="1" applyBorder="1"/>
    <xf numFmtId="0" fontId="0" fillId="12" borderId="23" xfId="0" applyFill="1" applyBorder="1"/>
    <xf numFmtId="3" fontId="0" fillId="12" borderId="5" xfId="0" applyNumberFormat="1" applyFill="1" applyBorder="1"/>
    <xf numFmtId="3" fontId="0" fillId="12" borderId="24" xfId="0" applyNumberFormat="1" applyFill="1" applyBorder="1"/>
    <xf numFmtId="0" fontId="0" fillId="12" borderId="26" xfId="0" applyFill="1" applyBorder="1"/>
    <xf numFmtId="3" fontId="0" fillId="12" borderId="0" xfId="0" applyNumberFormat="1" applyFill="1" applyBorder="1"/>
    <xf numFmtId="3" fontId="0" fillId="12" borderId="28" xfId="0" applyNumberFormat="1" applyFill="1" applyBorder="1"/>
    <xf numFmtId="1" fontId="0" fillId="12" borderId="0" xfId="0" applyNumberFormat="1" applyFill="1" applyBorder="1"/>
    <xf numFmtId="1" fontId="0" fillId="12" borderId="28" xfId="0" applyNumberFormat="1" applyFill="1" applyBorder="1"/>
    <xf numFmtId="1" fontId="0" fillId="10" borderId="0" xfId="0" applyNumberFormat="1" applyFill="1" applyBorder="1"/>
    <xf numFmtId="1" fontId="1" fillId="10" borderId="10" xfId="0" applyNumberFormat="1" applyFont="1" applyFill="1" applyBorder="1"/>
    <xf numFmtId="1" fontId="1" fillId="10" borderId="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Packages/Microsoft.MicrosoftEdge_8wekyb3d8bbwe/TempState/Downloads/Coke_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SHBOARD"/>
      <sheetName val="TEMPLATE"/>
      <sheetName val="INCOME STATEMENT"/>
      <sheetName val="BALANCE SHEET"/>
      <sheetName val="CASHFLOW STATEMENT"/>
      <sheetName val="famdata"/>
      <sheetName val="FixedAssetModule(FAM)"/>
      <sheetName val="DRS_data"/>
      <sheetName val="DebtRepaymentS.(DRS)"/>
    </sheetNames>
    <sheetDataSet>
      <sheetData sheetId="0">
        <row r="4">
          <cell r="D4" t="str">
            <v>Coca-Cola Bottling Co. Consolidated (COKE)</v>
          </cell>
        </row>
        <row r="6">
          <cell r="D6" t="str">
            <v>(in thousands, except per share data)</v>
          </cell>
        </row>
        <row r="8">
          <cell r="D8">
            <v>43800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C8"/>
  <sheetViews>
    <sheetView workbookViewId="0">
      <selection activeCell="C6" sqref="C6"/>
    </sheetView>
  </sheetViews>
  <sheetFormatPr defaultRowHeight="15"/>
  <cols>
    <col min="2" max="2" width="19.5703125" bestFit="1" customWidth="1"/>
    <col min="3" max="3" width="24.42578125" customWidth="1"/>
  </cols>
  <sheetData>
    <row r="4" spans="2:3">
      <c r="B4" t="s">
        <v>0</v>
      </c>
      <c r="C4" s="8" t="s">
        <v>15</v>
      </c>
    </row>
    <row r="6" spans="2:3">
      <c r="B6" t="s">
        <v>1</v>
      </c>
      <c r="C6" s="9" t="s">
        <v>16</v>
      </c>
    </row>
    <row r="7" spans="2:3">
      <c r="C7" s="3"/>
    </row>
    <row r="8" spans="2:3">
      <c r="B8" t="s">
        <v>2</v>
      </c>
      <c r="C8" s="4">
        <v>43800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15"/>
  <sheetViews>
    <sheetView workbookViewId="0">
      <selection activeCell="U12" sqref="U12"/>
    </sheetView>
  </sheetViews>
  <sheetFormatPr defaultRowHeight="15"/>
  <cols>
    <col min="1" max="1" width="24.42578125" customWidth="1"/>
    <col min="2" max="2" width="17.140625" customWidth="1"/>
    <col min="5" max="5" width="20.42578125" customWidth="1"/>
  </cols>
  <sheetData>
    <row r="1" spans="1:18" ht="25.5" customHeight="1">
      <c r="A1" t="s">
        <v>197</v>
      </c>
      <c r="B1" s="130" t="s">
        <v>196</v>
      </c>
      <c r="C1" s="130"/>
      <c r="E1" s="216">
        <v>44183</v>
      </c>
      <c r="F1" s="213" t="s">
        <v>195</v>
      </c>
      <c r="G1" s="213">
        <v>18</v>
      </c>
      <c r="H1" s="213">
        <v>19</v>
      </c>
      <c r="I1" s="219"/>
      <c r="J1" s="218" t="s">
        <v>194</v>
      </c>
      <c r="K1" s="19" t="s">
        <v>193</v>
      </c>
      <c r="L1" s="217" t="s">
        <v>192</v>
      </c>
      <c r="N1" s="19"/>
      <c r="O1" s="19"/>
      <c r="Q1" s="214" t="s">
        <v>191</v>
      </c>
      <c r="R1" s="213" t="s">
        <v>190</v>
      </c>
    </row>
    <row r="2" spans="1:18" ht="25.5">
      <c r="A2" s="216">
        <v>44183</v>
      </c>
      <c r="B2" s="193">
        <v>2018</v>
      </c>
      <c r="C2" s="193">
        <v>2019</v>
      </c>
      <c r="E2" s="212">
        <v>2019</v>
      </c>
      <c r="F2" s="211"/>
      <c r="G2" s="211">
        <v>10434</v>
      </c>
      <c r="J2" s="215" t="s">
        <v>189</v>
      </c>
      <c r="K2" s="213" t="s">
        <v>188</v>
      </c>
      <c r="L2" s="214"/>
      <c r="N2" s="213">
        <v>2018</v>
      </c>
      <c r="O2" s="213">
        <v>2019</v>
      </c>
      <c r="Q2" s="212" t="s">
        <v>187</v>
      </c>
      <c r="R2" s="211">
        <v>45000</v>
      </c>
    </row>
    <row r="3" spans="1:18" ht="25.5">
      <c r="A3" s="212">
        <v>2019</v>
      </c>
      <c r="B3" s="211">
        <v>14146</v>
      </c>
      <c r="E3" s="11">
        <v>2020</v>
      </c>
      <c r="F3" s="12"/>
      <c r="G3" s="12">
        <v>10613</v>
      </c>
      <c r="H3" s="193">
        <v>10611</v>
      </c>
      <c r="I3" s="193"/>
      <c r="J3" s="198">
        <v>43570</v>
      </c>
      <c r="K3" s="210">
        <v>7.0000000000000007E-2</v>
      </c>
      <c r="L3" s="11" t="s">
        <v>186</v>
      </c>
      <c r="N3" s="12">
        <v>110000</v>
      </c>
      <c r="O3" s="14" t="s">
        <v>27</v>
      </c>
      <c r="Q3" s="11" t="s">
        <v>185</v>
      </c>
      <c r="R3" s="12">
        <v>217500</v>
      </c>
    </row>
    <row r="4" spans="1:18" ht="25.5">
      <c r="A4" s="11">
        <v>2020</v>
      </c>
      <c r="B4" s="12">
        <v>13526</v>
      </c>
      <c r="C4" s="193">
        <v>19236</v>
      </c>
      <c r="E4" s="11">
        <v>2021</v>
      </c>
      <c r="F4" s="12"/>
      <c r="G4" s="12">
        <v>6218</v>
      </c>
      <c r="H4" s="193">
        <v>6215</v>
      </c>
      <c r="I4" s="193"/>
      <c r="J4" s="198">
        <v>44354</v>
      </c>
      <c r="K4" s="11" t="s">
        <v>181</v>
      </c>
      <c r="L4" s="11" t="s">
        <v>184</v>
      </c>
      <c r="N4" s="12">
        <v>292500</v>
      </c>
      <c r="O4" s="12">
        <v>262500</v>
      </c>
      <c r="Q4" s="11" t="s">
        <v>183</v>
      </c>
      <c r="R4" s="14" t="s">
        <v>27</v>
      </c>
    </row>
    <row r="5" spans="1:18" ht="25.5">
      <c r="A5" s="11">
        <v>2021</v>
      </c>
      <c r="B5" s="12">
        <v>12568</v>
      </c>
      <c r="C5" s="193">
        <v>16815</v>
      </c>
      <c r="E5" s="11">
        <v>2022</v>
      </c>
      <c r="F5" s="12"/>
      <c r="G5" s="12">
        <v>2697</v>
      </c>
      <c r="H5" s="193">
        <v>2694</v>
      </c>
      <c r="I5" s="193"/>
      <c r="J5" s="209">
        <v>44984</v>
      </c>
      <c r="K5" s="204">
        <v>3.2800000000000003E-2</v>
      </c>
      <c r="L5" s="11" t="s">
        <v>176</v>
      </c>
      <c r="N5" s="12">
        <v>125000</v>
      </c>
      <c r="O5" s="208">
        <v>125000</v>
      </c>
      <c r="Q5" s="11" t="s">
        <v>182</v>
      </c>
      <c r="R5" s="208">
        <v>170000</v>
      </c>
    </row>
    <row r="6" spans="1:18" ht="38.25">
      <c r="A6" s="11">
        <v>2022</v>
      </c>
      <c r="B6" s="12">
        <v>11161</v>
      </c>
      <c r="C6" s="193">
        <v>14016</v>
      </c>
      <c r="E6" s="11">
        <v>2023</v>
      </c>
      <c r="F6" s="12"/>
      <c r="G6" s="12">
        <v>2753</v>
      </c>
      <c r="H6" s="193">
        <v>2750</v>
      </c>
      <c r="I6" s="193"/>
      <c r="J6" s="209">
        <v>45085</v>
      </c>
      <c r="K6" s="11" t="s">
        <v>181</v>
      </c>
      <c r="L6" s="11" t="s">
        <v>180</v>
      </c>
      <c r="N6" s="12">
        <v>80000</v>
      </c>
      <c r="O6" s="208">
        <v>45000</v>
      </c>
      <c r="Q6" s="11" t="s">
        <v>179</v>
      </c>
      <c r="R6" s="14" t="s">
        <v>27</v>
      </c>
    </row>
    <row r="7" spans="1:18" ht="25.5">
      <c r="A7" s="11">
        <v>2023</v>
      </c>
      <c r="B7" s="12">
        <v>10055</v>
      </c>
      <c r="C7" s="193">
        <v>11704</v>
      </c>
      <c r="E7" s="11">
        <v>2024</v>
      </c>
      <c r="F7" s="12"/>
      <c r="G7" s="12"/>
      <c r="H7" s="193">
        <v>2808</v>
      </c>
      <c r="I7" s="193"/>
      <c r="J7" s="198">
        <v>45986</v>
      </c>
      <c r="K7" s="204">
        <v>3.7999999999999999E-2</v>
      </c>
      <c r="L7" s="11" t="s">
        <v>176</v>
      </c>
      <c r="N7" s="12">
        <v>350000</v>
      </c>
      <c r="O7" s="12">
        <v>350000</v>
      </c>
      <c r="Q7" s="11" t="s">
        <v>177</v>
      </c>
      <c r="R7" s="194">
        <v>600000</v>
      </c>
    </row>
    <row r="8" spans="1:18" ht="25.5">
      <c r="A8" s="11">
        <v>2024</v>
      </c>
      <c r="C8" s="193">
        <v>10989</v>
      </c>
      <c r="E8" s="11" t="s">
        <v>177</v>
      </c>
      <c r="F8" s="194"/>
      <c r="G8" s="194">
        <v>8106</v>
      </c>
      <c r="H8" s="192">
        <v>5406</v>
      </c>
      <c r="I8" s="191"/>
      <c r="J8" s="198">
        <v>46305</v>
      </c>
      <c r="K8" s="204">
        <v>3.9300000000000002E-2</v>
      </c>
      <c r="L8" s="11" t="s">
        <v>176</v>
      </c>
      <c r="N8" s="14" t="s">
        <v>27</v>
      </c>
      <c r="O8" s="12">
        <v>100000</v>
      </c>
      <c r="Q8" s="207" t="s">
        <v>178</v>
      </c>
      <c r="R8" s="206"/>
    </row>
    <row r="9" spans="1:18" ht="39" thickBot="1">
      <c r="A9" s="11" t="s">
        <v>177</v>
      </c>
      <c r="B9" s="53">
        <v>33805</v>
      </c>
      <c r="C9" s="193">
        <v>67556</v>
      </c>
      <c r="E9" s="19" t="s">
        <v>175</v>
      </c>
      <c r="F9" s="188"/>
      <c r="G9" s="205">
        <v>40821</v>
      </c>
      <c r="H9" s="192">
        <v>30484</v>
      </c>
      <c r="I9" s="191"/>
      <c r="J9" s="198">
        <v>47563</v>
      </c>
      <c r="K9" s="204">
        <v>3.9600000000000003E-2</v>
      </c>
      <c r="L9" s="11" t="s">
        <v>176</v>
      </c>
      <c r="N9" s="12">
        <v>150000</v>
      </c>
      <c r="O9" s="12">
        <v>150000</v>
      </c>
    </row>
    <row r="10" spans="1:18" ht="65.25" thickTop="1" thickBot="1">
      <c r="A10" s="19" t="s">
        <v>175</v>
      </c>
      <c r="B10" s="60">
        <v>95261</v>
      </c>
      <c r="C10" s="203">
        <v>140316</v>
      </c>
      <c r="E10" s="11" t="s">
        <v>174</v>
      </c>
      <c r="F10" s="202"/>
      <c r="G10" s="201">
        <v>5573</v>
      </c>
      <c r="H10" s="192">
        <v>3678</v>
      </c>
      <c r="I10" s="191"/>
      <c r="J10" s="198">
        <v>43570</v>
      </c>
      <c r="K10" s="195"/>
      <c r="L10" s="11" t="s">
        <v>173</v>
      </c>
      <c r="N10" s="14">
        <v>-78</v>
      </c>
      <c r="O10" s="14" t="s">
        <v>27</v>
      </c>
    </row>
    <row r="11" spans="1:18" ht="64.5" thickTop="1">
      <c r="A11" s="11" t="s">
        <v>174</v>
      </c>
      <c r="B11" s="58"/>
      <c r="C11" s="200">
        <v>27527</v>
      </c>
      <c r="E11" s="19" t="s">
        <v>172</v>
      </c>
      <c r="F11" s="187"/>
      <c r="G11" s="199">
        <v>35248</v>
      </c>
      <c r="H11" s="193">
        <v>26806</v>
      </c>
      <c r="I11" s="193"/>
      <c r="J11" s="198">
        <v>45986</v>
      </c>
      <c r="K11" s="195"/>
      <c r="L11" s="11" t="s">
        <v>173</v>
      </c>
      <c r="N11" s="14">
        <v>-61</v>
      </c>
      <c r="O11" s="14">
        <v>-52</v>
      </c>
    </row>
    <row r="12" spans="1:18" ht="38.25">
      <c r="A12" s="19" t="s">
        <v>172</v>
      </c>
      <c r="B12" s="187"/>
      <c r="C12" s="197">
        <v>112789</v>
      </c>
      <c r="E12" s="11" t="s">
        <v>170</v>
      </c>
      <c r="F12" s="14"/>
      <c r="G12" s="194">
        <v>8617</v>
      </c>
      <c r="H12" s="192">
        <v>9403</v>
      </c>
      <c r="I12" s="191"/>
      <c r="J12" s="196"/>
      <c r="K12" s="195"/>
      <c r="L12" s="11" t="s">
        <v>171</v>
      </c>
      <c r="N12" s="194">
        <v>-2958</v>
      </c>
      <c r="O12" s="194">
        <v>-2528</v>
      </c>
    </row>
    <row r="13" spans="1:18" ht="39" thickBot="1">
      <c r="A13" s="11" t="s">
        <v>170</v>
      </c>
      <c r="B13" s="14"/>
      <c r="C13" s="193">
        <v>15024</v>
      </c>
      <c r="E13" s="19" t="s">
        <v>169</v>
      </c>
      <c r="F13" s="187"/>
      <c r="G13" s="188">
        <v>26631</v>
      </c>
      <c r="H13" s="192">
        <v>17403</v>
      </c>
      <c r="I13" s="191"/>
      <c r="J13" s="190"/>
      <c r="K13" s="189"/>
      <c r="L13" s="19" t="s">
        <v>69</v>
      </c>
      <c r="N13" s="188">
        <v>1104403</v>
      </c>
      <c r="O13" s="188">
        <v>1029920</v>
      </c>
    </row>
    <row r="14" spans="1:18" ht="27" thickTop="1" thickBot="1">
      <c r="A14" s="19" t="s">
        <v>169</v>
      </c>
      <c r="B14" s="187"/>
      <c r="C14" s="186">
        <v>97765</v>
      </c>
      <c r="J14" s="51"/>
      <c r="K14" s="51"/>
      <c r="L14" s="185"/>
      <c r="N14" s="51"/>
      <c r="O14" s="51"/>
    </row>
    <row r="15" spans="1:18" ht="15.75" thickTop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showGridLines="0" workbookViewId="0">
      <selection activeCell="C40" sqref="C40"/>
    </sheetView>
  </sheetViews>
  <sheetFormatPr defaultColWidth="0" defaultRowHeight="15" zeroHeight="1"/>
  <cols>
    <col min="1" max="1" width="3.7109375" style="1" customWidth="1"/>
    <col min="2" max="2" width="9.140625" customWidth="1"/>
    <col min="3" max="3" width="40.7109375" customWidth="1"/>
    <col min="4" max="12" width="9.140625" customWidth="1"/>
    <col min="13" max="13" width="3.7109375" style="1" customWidth="1"/>
    <col min="14" max="16384" width="9.140625" hidden="1"/>
  </cols>
  <sheetData>
    <row r="1" spans="2:12" s="1" customFormat="1"/>
    <row r="2" spans="2:12">
      <c r="B2" s="2" t="str">
        <f>Company_name</f>
        <v>Coca-Cola Bottling Co. Consolidated (COKE)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t="15.75" thickBot="1">
      <c r="B3" s="2"/>
      <c r="C3" s="2"/>
      <c r="D3" s="2"/>
      <c r="E3" s="2"/>
      <c r="F3" s="2"/>
      <c r="G3" s="257" t="s">
        <v>3</v>
      </c>
      <c r="H3" s="257"/>
      <c r="I3" s="257"/>
      <c r="J3" s="2"/>
      <c r="K3" s="2" t="s">
        <v>18</v>
      </c>
      <c r="L3" s="2"/>
    </row>
    <row r="4" spans="2:12">
      <c r="B4" s="2" t="str">
        <f>Currency</f>
        <v>(in thousands, except per share data)</v>
      </c>
      <c r="C4" s="2"/>
      <c r="D4" s="10">
        <f>EDATE(E4,-12)</f>
        <v>41974</v>
      </c>
      <c r="E4" s="10">
        <f>EDATE(F4,-12)</f>
        <v>42339</v>
      </c>
      <c r="F4" s="10">
        <f>EDATE(G4,-12)</f>
        <v>42705</v>
      </c>
      <c r="G4" s="5">
        <f>EDATE(H4,-12)</f>
        <v>43070</v>
      </c>
      <c r="H4" s="5">
        <f>EDATE(I4,-12)</f>
        <v>43435</v>
      </c>
      <c r="I4" s="5">
        <f>LHY</f>
        <v>43800</v>
      </c>
      <c r="J4" s="5">
        <f>EDATE(I4,12)</f>
        <v>44166</v>
      </c>
      <c r="K4" s="5">
        <f t="shared" ref="K4:L4" si="0">EDATE(J4,12)</f>
        <v>44531</v>
      </c>
      <c r="L4" s="5">
        <f t="shared" si="0"/>
        <v>44896</v>
      </c>
    </row>
    <row r="5" spans="2:12">
      <c r="J5" s="6"/>
      <c r="K5" s="6"/>
      <c r="L5" s="6"/>
    </row>
    <row r="6" spans="2:12">
      <c r="J6" s="6"/>
      <c r="K6" s="6"/>
      <c r="L6" s="6"/>
    </row>
    <row r="7" spans="2:12">
      <c r="J7" s="6"/>
      <c r="K7" s="6"/>
      <c r="L7" s="6"/>
    </row>
    <row r="8" spans="2:12">
      <c r="J8" s="6"/>
      <c r="K8" s="6"/>
      <c r="L8" s="6"/>
    </row>
    <row r="9" spans="2:12">
      <c r="J9" s="6"/>
      <c r="K9" s="6"/>
      <c r="L9" s="6"/>
    </row>
    <row r="10" spans="2:12">
      <c r="J10" s="6"/>
      <c r="K10" s="6"/>
      <c r="L10" s="6"/>
    </row>
    <row r="11" spans="2:12">
      <c r="J11" s="6"/>
      <c r="K11" s="6"/>
      <c r="L11" s="6"/>
    </row>
    <row r="12" spans="2:12">
      <c r="J12" s="6"/>
      <c r="K12" s="6"/>
      <c r="L12" s="6"/>
    </row>
    <row r="13" spans="2:12">
      <c r="J13" s="6"/>
      <c r="K13" s="6"/>
      <c r="L13" s="6"/>
    </row>
    <row r="14" spans="2:12">
      <c r="J14" s="6"/>
      <c r="K14" s="6"/>
      <c r="L14" s="6"/>
    </row>
    <row r="15" spans="2:12">
      <c r="J15" s="6"/>
      <c r="K15" s="6"/>
      <c r="L15" s="6"/>
    </row>
    <row r="16" spans="2:12">
      <c r="J16" s="6"/>
      <c r="K16" s="6"/>
      <c r="L16" s="6"/>
    </row>
    <row r="17" spans="10:12">
      <c r="J17" s="6"/>
      <c r="K17" s="6"/>
      <c r="L17" s="6"/>
    </row>
    <row r="18" spans="10:12">
      <c r="J18" s="6"/>
      <c r="K18" s="6"/>
      <c r="L18" s="6"/>
    </row>
    <row r="19" spans="10:12">
      <c r="J19" s="6"/>
      <c r="K19" s="6"/>
      <c r="L19" s="6"/>
    </row>
    <row r="20" spans="10:12">
      <c r="J20" s="6"/>
      <c r="K20" s="6"/>
      <c r="L20" s="6"/>
    </row>
    <row r="21" spans="10:12">
      <c r="J21" s="6"/>
      <c r="K21" s="6"/>
      <c r="L21" s="6"/>
    </row>
    <row r="22" spans="10:12">
      <c r="J22" s="6"/>
      <c r="K22" s="6"/>
      <c r="L22" s="6"/>
    </row>
    <row r="23" spans="10:12">
      <c r="J23" s="6"/>
      <c r="K23" s="6"/>
      <c r="L23" s="6"/>
    </row>
    <row r="24" spans="10:12">
      <c r="J24" s="6"/>
      <c r="K24" s="6"/>
      <c r="L24" s="6"/>
    </row>
    <row r="25" spans="10:12">
      <c r="J25" s="6"/>
      <c r="K25" s="6"/>
      <c r="L25" s="6"/>
    </row>
    <row r="26" spans="10:12">
      <c r="J26" s="6"/>
      <c r="K26" s="6"/>
      <c r="L26" s="6"/>
    </row>
    <row r="27" spans="10:12">
      <c r="J27" s="6"/>
      <c r="K27" s="6"/>
      <c r="L27" s="6"/>
    </row>
    <row r="28" spans="10:12">
      <c r="J28" s="6"/>
      <c r="K28" s="6"/>
      <c r="L28" s="6"/>
    </row>
    <row r="29" spans="10:12">
      <c r="J29" s="6"/>
      <c r="K29" s="6"/>
      <c r="L29" s="6"/>
    </row>
    <row r="30" spans="10:12">
      <c r="J30" s="6"/>
      <c r="K30" s="6"/>
      <c r="L30" s="6"/>
    </row>
    <row r="31" spans="10:12">
      <c r="J31" s="6"/>
      <c r="K31" s="6"/>
      <c r="L31" s="6"/>
    </row>
    <row r="32" spans="10:12">
      <c r="J32" s="6"/>
      <c r="K32" s="6"/>
      <c r="L32" s="6"/>
    </row>
    <row r="33" spans="10:12">
      <c r="J33" s="6"/>
      <c r="K33" s="6"/>
      <c r="L33" s="6"/>
    </row>
    <row r="34" spans="10:12">
      <c r="J34" s="6"/>
      <c r="K34" s="6"/>
      <c r="L34" s="6"/>
    </row>
    <row r="35" spans="10:12">
      <c r="J35" s="6"/>
      <c r="K35" s="6"/>
      <c r="L35" s="6"/>
    </row>
    <row r="36" spans="10:12">
      <c r="J36" s="6"/>
      <c r="K36" s="6"/>
      <c r="L36" s="6"/>
    </row>
    <row r="37" spans="10:12">
      <c r="J37" s="6"/>
      <c r="K37" s="6"/>
      <c r="L37" s="6"/>
    </row>
    <row r="38" spans="10:12">
      <c r="J38" s="6"/>
      <c r="K38" s="6"/>
      <c r="L38" s="6"/>
    </row>
    <row r="39" spans="10:12">
      <c r="J39" s="6"/>
      <c r="K39" s="6"/>
      <c r="L39" s="6"/>
    </row>
    <row r="40" spans="10:12">
      <c r="J40" s="6"/>
      <c r="K40" s="6"/>
      <c r="L40" s="6"/>
    </row>
    <row r="41" spans="10:12">
      <c r="J41" s="6"/>
      <c r="K41" s="6"/>
      <c r="L41" s="6"/>
    </row>
    <row r="42" spans="10:12">
      <c r="J42" s="6"/>
      <c r="K42" s="6"/>
      <c r="L42" s="6"/>
    </row>
    <row r="43" spans="10:12">
      <c r="J43" s="6"/>
      <c r="K43" s="6"/>
      <c r="L43" s="6"/>
    </row>
    <row r="44" spans="10:12">
      <c r="J44" s="6"/>
      <c r="K44" s="6"/>
      <c r="L44" s="6"/>
    </row>
    <row r="45" spans="10:12">
      <c r="J45" s="6"/>
      <c r="K45" s="6"/>
      <c r="L45" s="6"/>
    </row>
    <row r="46" spans="10:12">
      <c r="J46" s="6"/>
      <c r="K46" s="6"/>
      <c r="L46" s="6"/>
    </row>
    <row r="47" spans="10:12">
      <c r="J47" s="6"/>
      <c r="K47" s="6"/>
      <c r="L47" s="6"/>
    </row>
    <row r="48" spans="10:12">
      <c r="J48" s="6"/>
      <c r="K48" s="6"/>
      <c r="L48" s="6"/>
    </row>
    <row r="49" spans="10:12">
      <c r="J49" s="6"/>
      <c r="K49" s="6"/>
      <c r="L49" s="6"/>
    </row>
    <row r="50" spans="10:12">
      <c r="J50" s="6"/>
      <c r="K50" s="6"/>
      <c r="L50" s="6"/>
    </row>
    <row r="51" spans="10:12">
      <c r="J51" s="6"/>
      <c r="K51" s="6"/>
      <c r="L51" s="6"/>
    </row>
    <row r="52" spans="10:12">
      <c r="J52" s="6"/>
      <c r="K52" s="6"/>
      <c r="L52" s="6"/>
    </row>
    <row r="53" spans="10:12">
      <c r="J53" s="6"/>
      <c r="K53" s="6"/>
      <c r="L53" s="6"/>
    </row>
    <row r="54" spans="10:12">
      <c r="J54" s="6"/>
      <c r="K54" s="6"/>
      <c r="L54" s="6"/>
    </row>
    <row r="55" spans="10:12">
      <c r="J55" s="6"/>
      <c r="K55" s="6"/>
      <c r="L55" s="6"/>
    </row>
    <row r="56" spans="10:12">
      <c r="J56" s="6"/>
      <c r="K56" s="6"/>
      <c r="L56" s="6"/>
    </row>
    <row r="57" spans="10:12">
      <c r="J57" s="6"/>
      <c r="K57" s="6"/>
      <c r="L57" s="6"/>
    </row>
    <row r="58" spans="10:12">
      <c r="J58" s="6"/>
      <c r="K58" s="6"/>
      <c r="L58" s="6"/>
    </row>
    <row r="59" spans="10:12">
      <c r="J59" s="6"/>
      <c r="K59" s="6"/>
      <c r="L59" s="6"/>
    </row>
    <row r="60" spans="10:12">
      <c r="J60" s="6"/>
      <c r="K60" s="6"/>
      <c r="L60" s="6"/>
    </row>
    <row r="61" spans="10:12">
      <c r="J61" s="6"/>
      <c r="K61" s="6"/>
      <c r="L61" s="6"/>
    </row>
    <row r="62" spans="10:12">
      <c r="J62" s="6"/>
      <c r="K62" s="6"/>
      <c r="L62" s="6"/>
    </row>
    <row r="63" spans="10:12">
      <c r="J63" s="6"/>
      <c r="K63" s="6"/>
      <c r="L63" s="6"/>
    </row>
    <row r="64" spans="10:12">
      <c r="J64" s="6"/>
      <c r="K64" s="6"/>
      <c r="L64" s="6"/>
    </row>
    <row r="65" spans="10:12">
      <c r="J65" s="6"/>
      <c r="K65" s="6"/>
      <c r="L65" s="6"/>
    </row>
    <row r="66" spans="10:12">
      <c r="J66" s="6"/>
      <c r="K66" s="6"/>
      <c r="L66" s="6"/>
    </row>
    <row r="67" spans="10:12">
      <c r="J67" s="6"/>
      <c r="K67" s="6"/>
      <c r="L67" s="6"/>
    </row>
    <row r="68" spans="10:12">
      <c r="J68" s="6"/>
      <c r="K68" s="6"/>
      <c r="L68" s="6"/>
    </row>
    <row r="69" spans="10:12">
      <c r="J69" s="6"/>
      <c r="K69" s="6"/>
      <c r="L69" s="6"/>
    </row>
    <row r="70" spans="10:12">
      <c r="J70" s="6"/>
      <c r="K70" s="6"/>
      <c r="L70" s="6"/>
    </row>
    <row r="71" spans="10:12">
      <c r="J71" s="6"/>
      <c r="K71" s="6"/>
      <c r="L71" s="6"/>
    </row>
    <row r="72" spans="10:12">
      <c r="J72" s="6"/>
      <c r="K72" s="6"/>
      <c r="L72" s="6"/>
    </row>
    <row r="73" spans="10:12">
      <c r="J73" s="6"/>
      <c r="K73" s="6"/>
      <c r="L73" s="6"/>
    </row>
    <row r="74" spans="10:12">
      <c r="J74" s="6"/>
      <c r="K74" s="6"/>
      <c r="L74" s="6"/>
    </row>
    <row r="75" spans="10:12">
      <c r="J75" s="6"/>
      <c r="K75" s="6"/>
      <c r="L75" s="6"/>
    </row>
    <row r="76" spans="10:12">
      <c r="J76" s="6"/>
      <c r="K76" s="6"/>
      <c r="L76" s="6"/>
    </row>
    <row r="77" spans="10:12">
      <c r="J77" s="6"/>
      <c r="K77" s="6"/>
      <c r="L77" s="6"/>
    </row>
    <row r="78" spans="10:12">
      <c r="J78" s="6"/>
      <c r="K78" s="6"/>
      <c r="L78" s="6"/>
    </row>
    <row r="79" spans="10:12">
      <c r="J79" s="6"/>
      <c r="K79" s="6"/>
      <c r="L79" s="6"/>
    </row>
    <row r="80" spans="10:12">
      <c r="J80" s="6"/>
      <c r="K80" s="6"/>
      <c r="L80" s="6"/>
    </row>
    <row r="81" spans="10:12">
      <c r="J81" s="6"/>
      <c r="K81" s="6"/>
      <c r="L81" s="6"/>
    </row>
    <row r="82" spans="10:12">
      <c r="J82" s="6"/>
      <c r="K82" s="6"/>
      <c r="L82" s="6"/>
    </row>
    <row r="83" spans="10:12">
      <c r="J83" s="6"/>
      <c r="K83" s="6"/>
      <c r="L83" s="6"/>
    </row>
    <row r="84" spans="10:12">
      <c r="J84" s="6"/>
      <c r="K84" s="6"/>
      <c r="L84" s="6"/>
    </row>
    <row r="85" spans="10:12">
      <c r="J85" s="6"/>
      <c r="K85" s="6"/>
      <c r="L85" s="6"/>
    </row>
    <row r="86" spans="10:12">
      <c r="J86" s="6"/>
      <c r="K86" s="6"/>
      <c r="L86" s="6"/>
    </row>
    <row r="87" spans="10:12">
      <c r="J87" s="6"/>
      <c r="K87" s="6"/>
      <c r="L87" s="6"/>
    </row>
    <row r="88" spans="10:12">
      <c r="J88" s="6"/>
      <c r="K88" s="6"/>
      <c r="L88" s="6"/>
    </row>
    <row r="89" spans="10:12">
      <c r="J89" s="6"/>
      <c r="K89" s="6"/>
      <c r="L89" s="6"/>
    </row>
    <row r="90" spans="10:12">
      <c r="J90" s="6"/>
      <c r="K90" s="6"/>
      <c r="L90" s="6"/>
    </row>
    <row r="91" spans="10:12">
      <c r="J91" s="6"/>
      <c r="K91" s="6"/>
      <c r="L91" s="6"/>
    </row>
    <row r="92" spans="10:12">
      <c r="J92" s="6"/>
      <c r="K92" s="6"/>
      <c r="L92" s="6"/>
    </row>
    <row r="93" spans="10:12">
      <c r="J93" s="6"/>
      <c r="K93" s="6"/>
      <c r="L93" s="6"/>
    </row>
    <row r="94" spans="10:12">
      <c r="J94" s="6"/>
      <c r="K94" s="6"/>
      <c r="L94" s="6"/>
    </row>
    <row r="95" spans="10:12">
      <c r="J95" s="6"/>
      <c r="K95" s="6"/>
      <c r="L95" s="6"/>
    </row>
    <row r="96" spans="10:12">
      <c r="J96" s="6"/>
      <c r="K96" s="6"/>
      <c r="L96" s="6"/>
    </row>
    <row r="97" spans="10:12">
      <c r="J97" s="6"/>
      <c r="K97" s="6"/>
      <c r="L97" s="6"/>
    </row>
    <row r="98" spans="10:12">
      <c r="J98" s="6"/>
      <c r="K98" s="6"/>
      <c r="L98" s="6"/>
    </row>
    <row r="99" spans="10:12">
      <c r="J99" s="6"/>
      <c r="K99" s="6"/>
      <c r="L99" s="6"/>
    </row>
    <row r="100" spans="10:12" s="1" customFormat="1"/>
  </sheetData>
  <mergeCells count="1">
    <mergeCell ref="G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00"/>
  <sheetViews>
    <sheetView showGridLines="0" topLeftCell="A8" workbookViewId="0">
      <selection activeCell="J18" sqref="J18"/>
    </sheetView>
  </sheetViews>
  <sheetFormatPr defaultColWidth="0" defaultRowHeight="15" zeroHeight="1"/>
  <cols>
    <col min="1" max="1" width="3.7109375" style="1" customWidth="1"/>
    <col min="2" max="2" width="9.140625" customWidth="1"/>
    <col min="3" max="3" width="40.7109375" customWidth="1"/>
    <col min="4" max="9" width="9.140625" customWidth="1"/>
    <col min="10" max="12" width="9.7109375" customWidth="1"/>
    <col min="13" max="13" width="3.7109375" style="1" customWidth="1"/>
    <col min="14" max="16384" width="9.140625" hidden="1"/>
  </cols>
  <sheetData>
    <row r="1" spans="2:12" s="1" customFormat="1"/>
    <row r="2" spans="2:12">
      <c r="B2" s="2" t="str">
        <f>Company_name</f>
        <v>Coca-Cola Bottling Co. Consolidated (COKE)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t="15.75" thickBot="1">
      <c r="B3" s="2"/>
      <c r="C3" s="2"/>
      <c r="D3" s="2"/>
      <c r="E3" s="2"/>
      <c r="F3" s="2"/>
      <c r="G3" s="257" t="s">
        <v>3</v>
      </c>
      <c r="H3" s="257"/>
      <c r="I3" s="257"/>
      <c r="J3" s="2"/>
      <c r="K3" s="2" t="s">
        <v>17</v>
      </c>
      <c r="L3" s="2"/>
    </row>
    <row r="4" spans="2:12">
      <c r="B4" s="2" t="str">
        <f>Currency</f>
        <v>(in thousands, except per share data)</v>
      </c>
      <c r="C4" s="2"/>
      <c r="D4" s="10">
        <f>EDATE(E4,-12)</f>
        <v>41974</v>
      </c>
      <c r="E4" s="10">
        <f>EDATE(F4,-12)</f>
        <v>42339</v>
      </c>
      <c r="F4" s="10">
        <f>EDATE(G4,-12)</f>
        <v>42705</v>
      </c>
      <c r="G4" s="5">
        <f>EDATE(H4,-12)</f>
        <v>43070</v>
      </c>
      <c r="H4" s="5">
        <f>EDATE(I4,-12)</f>
        <v>43435</v>
      </c>
      <c r="I4" s="5">
        <f>LHY</f>
        <v>43800</v>
      </c>
      <c r="J4" s="5">
        <f>EDATE(I4,12)</f>
        <v>44166</v>
      </c>
      <c r="K4" s="5">
        <f t="shared" ref="K4:L4" si="0">EDATE(J4,12)</f>
        <v>44531</v>
      </c>
      <c r="L4" s="5">
        <f t="shared" si="0"/>
        <v>44896</v>
      </c>
    </row>
    <row r="5" spans="2:12">
      <c r="J5" s="6"/>
      <c r="K5" s="6"/>
      <c r="L5" s="6"/>
    </row>
    <row r="6" spans="2:12">
      <c r="C6" s="52" t="s">
        <v>19</v>
      </c>
      <c r="D6" s="53">
        <v>1746369</v>
      </c>
      <c r="E6" s="53">
        <v>2306458</v>
      </c>
      <c r="F6" s="53">
        <v>3156428</v>
      </c>
      <c r="G6" s="15">
        <v>4287588</v>
      </c>
      <c r="H6" s="15">
        <v>4625364</v>
      </c>
      <c r="I6" s="15">
        <v>4826549</v>
      </c>
      <c r="J6" s="64">
        <f>I6*(1+3%)</f>
        <v>4971345.47</v>
      </c>
      <c r="K6" s="64">
        <f t="shared" ref="K6:L7" si="1">J6*(1+3%)</f>
        <v>5120485.8340999996</v>
      </c>
      <c r="L6" s="64">
        <f t="shared" si="1"/>
        <v>5274100.4091229998</v>
      </c>
    </row>
    <row r="7" spans="2:12">
      <c r="C7" s="11" t="s">
        <v>20</v>
      </c>
      <c r="D7" s="53">
        <v>1041130</v>
      </c>
      <c r="E7" s="53">
        <v>1405426</v>
      </c>
      <c r="F7" s="53">
        <v>1940706</v>
      </c>
      <c r="G7" s="15">
        <v>2782721</v>
      </c>
      <c r="H7" s="15">
        <v>3069652</v>
      </c>
      <c r="I7" s="15">
        <v>3156047</v>
      </c>
      <c r="J7" s="64">
        <f>I7*(1+3%)</f>
        <v>3250728.41</v>
      </c>
      <c r="K7" s="64">
        <f t="shared" si="1"/>
        <v>3348250.2623000001</v>
      </c>
      <c r="L7" s="64">
        <f t="shared" si="1"/>
        <v>3448697.7701690001</v>
      </c>
    </row>
    <row r="8" spans="2:12">
      <c r="C8" s="54" t="s">
        <v>21</v>
      </c>
      <c r="D8" s="55">
        <v>705239</v>
      </c>
      <c r="E8" s="55">
        <v>901032</v>
      </c>
      <c r="F8" s="55">
        <v>1215722</v>
      </c>
      <c r="G8" s="56">
        <v>1504867</v>
      </c>
      <c r="H8" s="56">
        <v>1555712</v>
      </c>
      <c r="I8" s="56">
        <v>1670502</v>
      </c>
      <c r="J8" s="65">
        <f>J6-J7</f>
        <v>1720617.0599999996</v>
      </c>
      <c r="K8" s="65">
        <f t="shared" ref="K8:L8" si="2">K6-K7</f>
        <v>1772235.5717999996</v>
      </c>
      <c r="L8" s="65">
        <f t="shared" si="2"/>
        <v>1825402.6389539996</v>
      </c>
    </row>
    <row r="9" spans="2:12">
      <c r="C9" s="11" t="s">
        <v>22</v>
      </c>
      <c r="D9" s="53">
        <v>619272</v>
      </c>
      <c r="E9" s="53">
        <v>802888</v>
      </c>
      <c r="F9" s="53">
        <v>1087863</v>
      </c>
      <c r="G9" s="15">
        <v>1403320</v>
      </c>
      <c r="H9" s="15">
        <v>1497810</v>
      </c>
      <c r="I9" s="15">
        <v>1489748</v>
      </c>
      <c r="J9" s="64">
        <f>I9*(1+3%)</f>
        <v>1534440.44</v>
      </c>
      <c r="K9" s="64">
        <f t="shared" ref="K9:L9" si="3">J9*(1+3%)</f>
        <v>1580473.6532000001</v>
      </c>
      <c r="L9" s="64">
        <f t="shared" si="3"/>
        <v>1627887.8627960002</v>
      </c>
    </row>
    <row r="10" spans="2:12">
      <c r="C10" s="54" t="s">
        <v>23</v>
      </c>
      <c r="D10" s="55">
        <v>85967</v>
      </c>
      <c r="E10" s="55">
        <v>98144</v>
      </c>
      <c r="F10" s="55">
        <v>127859</v>
      </c>
      <c r="G10" s="56">
        <v>101547</v>
      </c>
      <c r="H10" s="56">
        <v>57902</v>
      </c>
      <c r="I10" s="56">
        <v>180754</v>
      </c>
      <c r="J10" s="65">
        <f>J8-J9</f>
        <v>186176.61999999965</v>
      </c>
      <c r="K10" s="65">
        <f t="shared" ref="K10:L10" si="4">K8-K9</f>
        <v>191761.91859999951</v>
      </c>
      <c r="L10" s="65">
        <f t="shared" si="4"/>
        <v>197514.77615799941</v>
      </c>
    </row>
    <row r="11" spans="2:12">
      <c r="C11" s="11" t="s">
        <v>24</v>
      </c>
      <c r="D11" s="12">
        <v>29272</v>
      </c>
      <c r="E11" s="12">
        <v>28915</v>
      </c>
      <c r="F11" s="12">
        <v>36325</v>
      </c>
      <c r="G11" s="13">
        <v>41869</v>
      </c>
      <c r="H11" s="13">
        <v>50506</v>
      </c>
      <c r="I11" s="13">
        <v>45990</v>
      </c>
      <c r="J11" s="254">
        <f>'DebtRepaymentS.(DRS)'!I68</f>
        <v>37770</v>
      </c>
      <c r="K11" s="254">
        <f>'DebtRepaymentS.(DRS)'!J68</f>
        <v>29070</v>
      </c>
      <c r="L11" s="254">
        <f>'DebtRepaymentS.(DRS)'!K68</f>
        <v>29070</v>
      </c>
    </row>
    <row r="12" spans="2:12">
      <c r="C12" s="11" t="s">
        <v>25</v>
      </c>
      <c r="D12" s="12">
        <v>-1077</v>
      </c>
      <c r="E12" s="12">
        <v>-3576</v>
      </c>
      <c r="F12" s="12">
        <v>1870</v>
      </c>
      <c r="G12" s="13">
        <v>9565</v>
      </c>
      <c r="H12" s="13">
        <v>30853</v>
      </c>
      <c r="I12" s="13">
        <v>100539</v>
      </c>
      <c r="J12" s="64">
        <f>I12*(1+3%)</f>
        <v>103555.17</v>
      </c>
      <c r="K12" s="64">
        <f t="shared" ref="K12:L12" si="5">J12*(1+3%)</f>
        <v>106661.8251</v>
      </c>
      <c r="L12" s="64">
        <f t="shared" si="5"/>
        <v>109861.67985300001</v>
      </c>
    </row>
    <row r="13" spans="2:12">
      <c r="C13" s="11" t="s">
        <v>26</v>
      </c>
      <c r="D13" s="14" t="s">
        <v>27</v>
      </c>
      <c r="E13" s="12">
        <v>8807</v>
      </c>
      <c r="F13" s="14">
        <v>-692</v>
      </c>
      <c r="G13" s="15">
        <v>12893</v>
      </c>
      <c r="H13" s="15">
        <v>10170</v>
      </c>
      <c r="I13" s="16" t="s">
        <v>27</v>
      </c>
      <c r="J13" s="64">
        <v>0</v>
      </c>
      <c r="K13" s="64">
        <f t="shared" ref="K13:L13" si="6">J13*(1+3%)</f>
        <v>0</v>
      </c>
      <c r="L13" s="64">
        <f t="shared" si="6"/>
        <v>0</v>
      </c>
    </row>
    <row r="14" spans="2:12">
      <c r="C14" s="11" t="s">
        <v>28</v>
      </c>
      <c r="D14" s="14" t="s">
        <v>27</v>
      </c>
      <c r="E14" s="12">
        <v>22651</v>
      </c>
      <c r="F14" s="14" t="s">
        <v>27</v>
      </c>
      <c r="G14" s="17"/>
      <c r="H14" s="17"/>
      <c r="I14" s="17"/>
      <c r="J14" s="64">
        <f t="shared" ref="J14:L14" si="7">I14*(1+3%)</f>
        <v>0</v>
      </c>
      <c r="K14" s="64">
        <f t="shared" si="7"/>
        <v>0</v>
      </c>
      <c r="L14" s="64">
        <f t="shared" si="7"/>
        <v>0</v>
      </c>
    </row>
    <row r="15" spans="2:12">
      <c r="C15" s="11" t="s">
        <v>29</v>
      </c>
      <c r="D15" s="58" t="s">
        <v>27</v>
      </c>
      <c r="E15" s="53">
        <v>2011</v>
      </c>
      <c r="F15" s="58" t="s">
        <v>27</v>
      </c>
      <c r="J15" s="64">
        <f t="shared" ref="J15:L15" si="8">I15*(1+3%)</f>
        <v>0</v>
      </c>
      <c r="K15" s="64">
        <f t="shared" si="8"/>
        <v>0</v>
      </c>
      <c r="L15" s="64">
        <f t="shared" si="8"/>
        <v>0</v>
      </c>
    </row>
    <row r="16" spans="2:12">
      <c r="C16" s="54" t="s">
        <v>30</v>
      </c>
      <c r="D16" s="55">
        <v>55618</v>
      </c>
      <c r="E16" s="55">
        <v>99122</v>
      </c>
      <c r="F16" s="55">
        <v>92712</v>
      </c>
      <c r="G16" s="56">
        <v>63006</v>
      </c>
      <c r="H16" s="56">
        <v>-13287</v>
      </c>
      <c r="I16" s="56">
        <v>34225</v>
      </c>
      <c r="J16" s="65">
        <f>J10-J11-J12+J13+J14+J15</f>
        <v>44851.449999999648</v>
      </c>
      <c r="K16" s="65">
        <f t="shared" ref="K16:L16" si="9">K10-K11-K12+K13+K14+K15</f>
        <v>56030.093499999508</v>
      </c>
      <c r="L16" s="65">
        <f t="shared" si="9"/>
        <v>58583.096304999402</v>
      </c>
    </row>
    <row r="17" spans="3:12">
      <c r="C17" s="11" t="s">
        <v>31</v>
      </c>
      <c r="D17" s="53">
        <v>19536</v>
      </c>
      <c r="E17" s="53">
        <v>34078</v>
      </c>
      <c r="F17" s="53">
        <v>36049</v>
      </c>
      <c r="G17" s="15">
        <v>-39841</v>
      </c>
      <c r="H17" s="15">
        <v>1869</v>
      </c>
      <c r="I17" s="15">
        <v>15665</v>
      </c>
      <c r="J17" s="64">
        <f>I17*(1+3%)</f>
        <v>16134.95</v>
      </c>
      <c r="K17" s="64">
        <f t="shared" ref="K17:L17" si="10">J17*(1+3%)</f>
        <v>16618.998500000002</v>
      </c>
      <c r="L17" s="64">
        <f t="shared" si="10"/>
        <v>17117.568455000001</v>
      </c>
    </row>
    <row r="18" spans="3:12">
      <c r="C18" s="54" t="s">
        <v>4</v>
      </c>
      <c r="D18" s="55">
        <v>36082</v>
      </c>
      <c r="E18" s="55">
        <v>65044</v>
      </c>
      <c r="F18" s="55">
        <v>56663</v>
      </c>
      <c r="G18" s="56">
        <v>102847</v>
      </c>
      <c r="H18" s="56">
        <v>-15156</v>
      </c>
      <c r="I18" s="56">
        <v>18560</v>
      </c>
      <c r="J18" s="323">
        <f>J16-J17</f>
        <v>28716.499999999647</v>
      </c>
      <c r="K18" s="65">
        <f t="shared" ref="K18:L18" si="11">K16-K17</f>
        <v>39411.094999999506</v>
      </c>
      <c r="L18" s="65">
        <f t="shared" si="11"/>
        <v>41465.527849999402</v>
      </c>
    </row>
    <row r="19" spans="3:12" ht="25.5">
      <c r="C19" s="18" t="s">
        <v>32</v>
      </c>
      <c r="D19" s="53">
        <v>4728</v>
      </c>
      <c r="E19" s="53">
        <v>6042</v>
      </c>
      <c r="F19" s="53">
        <v>6517</v>
      </c>
      <c r="G19" s="15">
        <v>6312</v>
      </c>
      <c r="H19" s="15">
        <v>4774</v>
      </c>
      <c r="I19" s="15">
        <v>7185</v>
      </c>
      <c r="J19" s="321">
        <f>I19*(1+3%)</f>
        <v>7400.55</v>
      </c>
      <c r="K19" s="64">
        <f t="shared" ref="K19:L19" si="12">J19*(1+3%)</f>
        <v>7622.5665000000008</v>
      </c>
      <c r="L19" s="64">
        <f t="shared" si="12"/>
        <v>7851.2434950000006</v>
      </c>
    </row>
    <row r="20" spans="3:12" ht="26.25" thickBot="1">
      <c r="C20" s="59" t="s">
        <v>33</v>
      </c>
      <c r="D20" s="60">
        <v>31354</v>
      </c>
      <c r="E20" s="60">
        <v>59002</v>
      </c>
      <c r="F20" s="60">
        <v>50146</v>
      </c>
      <c r="G20" s="61">
        <v>96535</v>
      </c>
      <c r="H20" s="61">
        <v>-19930</v>
      </c>
      <c r="I20" s="61">
        <v>11375</v>
      </c>
      <c r="J20" s="322">
        <f>J18-J19</f>
        <v>21315.949999999648</v>
      </c>
      <c r="K20" s="66">
        <f t="shared" ref="K20:L20" si="13">K18-K19</f>
        <v>31788.528499999506</v>
      </c>
      <c r="L20" s="66">
        <f t="shared" si="13"/>
        <v>33614.2843549994</v>
      </c>
    </row>
    <row r="21" spans="3:12" ht="15.75" thickTop="1">
      <c r="C21" s="11"/>
      <c r="D21" s="58"/>
      <c r="E21" s="58"/>
      <c r="F21" s="58"/>
      <c r="J21" s="6"/>
      <c r="K21" s="6"/>
      <c r="L21" s="6"/>
    </row>
    <row r="22" spans="3:12" ht="38.25">
      <c r="C22" s="19" t="s">
        <v>34</v>
      </c>
      <c r="D22" s="14"/>
      <c r="E22" s="14"/>
      <c r="F22" s="14"/>
      <c r="J22" s="6"/>
      <c r="K22" s="6"/>
      <c r="L22" s="6"/>
    </row>
    <row r="23" spans="3:12" ht="15.75" thickBot="1">
      <c r="C23" s="11" t="s">
        <v>35</v>
      </c>
      <c r="D23" s="20">
        <v>3.38</v>
      </c>
      <c r="E23" s="20">
        <v>6.35</v>
      </c>
      <c r="F23" s="20">
        <v>5.39</v>
      </c>
      <c r="G23" s="21">
        <v>10.35</v>
      </c>
      <c r="H23" s="21">
        <v>-2.13</v>
      </c>
      <c r="I23" s="21">
        <v>1.21</v>
      </c>
      <c r="J23" s="63"/>
      <c r="K23" s="63"/>
      <c r="L23" s="63"/>
    </row>
    <row r="24" spans="3:12" ht="26.25" thickTop="1">
      <c r="C24" s="11" t="s">
        <v>36</v>
      </c>
      <c r="D24" s="22">
        <v>7141</v>
      </c>
      <c r="E24" s="22">
        <v>7141</v>
      </c>
      <c r="F24" s="22">
        <v>7141</v>
      </c>
      <c r="G24" s="23">
        <v>7141</v>
      </c>
      <c r="H24" s="23">
        <v>7141</v>
      </c>
      <c r="I24" s="23">
        <v>7141</v>
      </c>
      <c r="J24" s="6"/>
      <c r="K24" s="6"/>
      <c r="L24" s="6"/>
    </row>
    <row r="25" spans="3:12">
      <c r="C25" s="11"/>
      <c r="D25" s="14"/>
      <c r="E25" s="14"/>
      <c r="F25" s="14"/>
      <c r="G25" s="24"/>
      <c r="H25" s="24"/>
      <c r="I25" s="24"/>
      <c r="J25" s="6"/>
      <c r="K25" s="6"/>
      <c r="L25" s="6"/>
    </row>
    <row r="26" spans="3:12" ht="15.75" thickBot="1">
      <c r="C26" s="11" t="s">
        <v>37</v>
      </c>
      <c r="D26" s="20">
        <v>3.38</v>
      </c>
      <c r="E26" s="20">
        <v>6.35</v>
      </c>
      <c r="F26" s="20">
        <v>5.39</v>
      </c>
      <c r="G26" s="21">
        <v>10.35</v>
      </c>
      <c r="H26" s="21">
        <v>-2.13</v>
      </c>
      <c r="I26" s="21">
        <v>1.21</v>
      </c>
      <c r="J26" s="63"/>
      <c r="K26" s="63"/>
      <c r="L26" s="63"/>
    </row>
    <row r="27" spans="3:12" ht="26.25" thickTop="1">
      <c r="C27" s="11" t="s">
        <v>38</v>
      </c>
      <c r="D27" s="22">
        <v>2126</v>
      </c>
      <c r="E27" s="22">
        <v>2147</v>
      </c>
      <c r="F27" s="22">
        <v>2168</v>
      </c>
      <c r="G27" s="23">
        <v>2188</v>
      </c>
      <c r="H27" s="23">
        <v>2209</v>
      </c>
      <c r="I27" s="23">
        <v>2229</v>
      </c>
      <c r="J27" s="6"/>
      <c r="K27" s="6"/>
      <c r="L27" s="6"/>
    </row>
    <row r="28" spans="3:12">
      <c r="C28" s="18"/>
      <c r="D28" s="14"/>
      <c r="E28" s="14"/>
      <c r="F28" s="14"/>
      <c r="G28" s="24"/>
      <c r="H28" s="24"/>
      <c r="I28" s="24"/>
      <c r="J28" s="6"/>
      <c r="K28" s="6"/>
      <c r="L28" s="6"/>
    </row>
    <row r="29" spans="3:12" ht="38.25">
      <c r="C29" s="19" t="s">
        <v>39</v>
      </c>
      <c r="D29" s="14"/>
      <c r="E29" s="14"/>
      <c r="F29" s="14"/>
      <c r="G29" s="24"/>
      <c r="H29" s="24"/>
      <c r="I29" s="24"/>
      <c r="J29" s="6"/>
      <c r="K29" s="6"/>
      <c r="L29" s="6"/>
    </row>
    <row r="30" spans="3:12" ht="15.75" thickBot="1">
      <c r="C30" s="11" t="s">
        <v>35</v>
      </c>
      <c r="D30" s="20">
        <v>3.37</v>
      </c>
      <c r="E30" s="20">
        <v>6.33</v>
      </c>
      <c r="F30" s="20">
        <v>5.36</v>
      </c>
      <c r="G30" s="21">
        <v>10.3</v>
      </c>
      <c r="H30" s="21">
        <v>-2.13</v>
      </c>
      <c r="I30" s="21">
        <v>1.21</v>
      </c>
      <c r="J30" s="63"/>
      <c r="K30" s="63"/>
      <c r="L30" s="63"/>
    </row>
    <row r="31" spans="3:12" ht="26.25" thickTop="1">
      <c r="C31" s="11" t="s">
        <v>40</v>
      </c>
      <c r="D31" s="22">
        <v>9307</v>
      </c>
      <c r="E31" s="22">
        <v>9328</v>
      </c>
      <c r="F31" s="22">
        <v>9349</v>
      </c>
      <c r="G31" s="23">
        <v>9369</v>
      </c>
      <c r="H31" s="23">
        <v>9350</v>
      </c>
      <c r="I31" s="23">
        <v>9417</v>
      </c>
      <c r="J31" s="6"/>
      <c r="K31" s="6"/>
      <c r="L31" s="6"/>
    </row>
    <row r="32" spans="3:12">
      <c r="C32" s="11"/>
      <c r="D32" s="14"/>
      <c r="E32" s="14"/>
      <c r="F32" s="14"/>
      <c r="G32" s="24"/>
      <c r="H32" s="24"/>
      <c r="I32" s="24"/>
      <c r="J32" s="6"/>
      <c r="K32" s="6"/>
      <c r="L32" s="6"/>
    </row>
    <row r="33" spans="3:12" ht="15.75" thickBot="1">
      <c r="C33" s="11" t="s">
        <v>37</v>
      </c>
      <c r="D33" s="20">
        <v>3.35</v>
      </c>
      <c r="E33" s="20">
        <v>6.31</v>
      </c>
      <c r="F33" s="20">
        <v>5.35</v>
      </c>
      <c r="G33" s="21">
        <v>10.29</v>
      </c>
      <c r="H33" s="21">
        <v>-2.13</v>
      </c>
      <c r="I33" s="21">
        <v>1.19</v>
      </c>
      <c r="J33" s="63"/>
      <c r="K33" s="63"/>
      <c r="L33" s="63"/>
    </row>
    <row r="34" spans="3:12" ht="26.25" thickTop="1">
      <c r="C34" s="11" t="s">
        <v>41</v>
      </c>
      <c r="D34" s="22">
        <v>2166</v>
      </c>
      <c r="E34" s="22">
        <v>2187</v>
      </c>
      <c r="F34" s="22">
        <v>2208</v>
      </c>
      <c r="G34" s="23">
        <v>2228</v>
      </c>
      <c r="H34" s="23">
        <v>2209</v>
      </c>
      <c r="I34" s="23">
        <v>2276</v>
      </c>
      <c r="J34" s="6"/>
      <c r="K34" s="6"/>
      <c r="L34" s="6"/>
    </row>
    <row r="35" spans="3:12">
      <c r="J35" s="6"/>
      <c r="K35" s="6"/>
      <c r="L35" s="6"/>
    </row>
    <row r="36" spans="3:12">
      <c r="J36" s="6"/>
      <c r="K36" s="6"/>
      <c r="L36" s="6"/>
    </row>
    <row r="37" spans="3:12">
      <c r="C37" s="293" t="s">
        <v>222</v>
      </c>
      <c r="D37" s="293"/>
      <c r="E37" s="293"/>
      <c r="F37" s="293"/>
      <c r="G37" s="293"/>
      <c r="H37" s="293"/>
      <c r="I37" s="293"/>
      <c r="J37" s="294"/>
      <c r="K37" s="294"/>
      <c r="L37" s="294"/>
    </row>
    <row r="38" spans="3:12">
      <c r="J38" s="6"/>
      <c r="K38" s="6"/>
      <c r="L38" s="6"/>
    </row>
    <row r="39" spans="3:12">
      <c r="J39" s="6"/>
      <c r="K39" s="6"/>
      <c r="L39" s="6"/>
    </row>
    <row r="40" spans="3:12">
      <c r="J40" s="6"/>
      <c r="K40" s="6"/>
      <c r="L40" s="6"/>
    </row>
    <row r="41" spans="3:12">
      <c r="J41" s="6"/>
      <c r="K41" s="6"/>
      <c r="L41" s="6"/>
    </row>
    <row r="42" spans="3:12">
      <c r="J42" s="6"/>
      <c r="K42" s="6"/>
      <c r="L42" s="6"/>
    </row>
    <row r="43" spans="3:12">
      <c r="J43" s="6"/>
      <c r="K43" s="6"/>
      <c r="L43" s="6"/>
    </row>
    <row r="44" spans="3:12">
      <c r="J44" s="6"/>
      <c r="K44" s="6"/>
      <c r="L44" s="6"/>
    </row>
    <row r="45" spans="3:12">
      <c r="J45" s="6"/>
      <c r="K45" s="6"/>
      <c r="L45" s="6"/>
    </row>
    <row r="46" spans="3:12">
      <c r="J46" s="6"/>
      <c r="K46" s="6"/>
      <c r="L46" s="6"/>
    </row>
    <row r="47" spans="3:12">
      <c r="J47" s="6"/>
      <c r="K47" s="6"/>
      <c r="L47" s="6"/>
    </row>
    <row r="48" spans="3:12">
      <c r="J48" s="6"/>
      <c r="K48" s="6"/>
      <c r="L48" s="6"/>
    </row>
    <row r="49" spans="10:12">
      <c r="J49" s="6"/>
      <c r="K49" s="6"/>
      <c r="L49" s="6"/>
    </row>
    <row r="50" spans="10:12">
      <c r="J50" s="6"/>
      <c r="K50" s="6"/>
      <c r="L50" s="6"/>
    </row>
    <row r="51" spans="10:12">
      <c r="J51" s="6"/>
      <c r="K51" s="6"/>
      <c r="L51" s="6"/>
    </row>
    <row r="52" spans="10:12">
      <c r="J52" s="6"/>
      <c r="K52" s="6"/>
      <c r="L52" s="6"/>
    </row>
    <row r="53" spans="10:12">
      <c r="J53" s="6"/>
      <c r="K53" s="6"/>
      <c r="L53" s="6"/>
    </row>
    <row r="54" spans="10:12">
      <c r="J54" s="6"/>
      <c r="K54" s="6"/>
      <c r="L54" s="6"/>
    </row>
    <row r="55" spans="10:12">
      <c r="J55" s="6"/>
      <c r="K55" s="6"/>
      <c r="L55" s="6"/>
    </row>
    <row r="56" spans="10:12">
      <c r="J56" s="6"/>
      <c r="K56" s="6"/>
      <c r="L56" s="6"/>
    </row>
    <row r="57" spans="10:12">
      <c r="J57" s="6"/>
      <c r="K57" s="6"/>
      <c r="L57" s="6"/>
    </row>
    <row r="58" spans="10:12">
      <c r="J58" s="6"/>
      <c r="K58" s="6"/>
      <c r="L58" s="6"/>
    </row>
    <row r="59" spans="10:12">
      <c r="J59" s="6"/>
      <c r="K59" s="6"/>
      <c r="L59" s="6"/>
    </row>
    <row r="60" spans="10:12">
      <c r="J60" s="6"/>
      <c r="K60" s="6"/>
      <c r="L60" s="6"/>
    </row>
    <row r="61" spans="10:12">
      <c r="J61" s="6"/>
      <c r="K61" s="6"/>
      <c r="L61" s="6"/>
    </row>
    <row r="62" spans="10:12">
      <c r="J62" s="6"/>
      <c r="K62" s="6"/>
      <c r="L62" s="6"/>
    </row>
    <row r="63" spans="10:12">
      <c r="J63" s="6"/>
      <c r="K63" s="6"/>
      <c r="L63" s="6"/>
    </row>
    <row r="64" spans="10:12">
      <c r="J64" s="6"/>
      <c r="K64" s="6"/>
      <c r="L64" s="6"/>
    </row>
    <row r="65" spans="10:12">
      <c r="J65" s="6"/>
      <c r="K65" s="6"/>
      <c r="L65" s="6"/>
    </row>
    <row r="66" spans="10:12">
      <c r="J66" s="6"/>
      <c r="K66" s="6"/>
      <c r="L66" s="6"/>
    </row>
    <row r="67" spans="10:12">
      <c r="J67" s="6"/>
      <c r="K67" s="6"/>
      <c r="L67" s="6"/>
    </row>
    <row r="68" spans="10:12">
      <c r="J68" s="6"/>
      <c r="K68" s="6"/>
      <c r="L68" s="6"/>
    </row>
    <row r="69" spans="10:12">
      <c r="J69" s="6"/>
      <c r="K69" s="6"/>
      <c r="L69" s="6"/>
    </row>
    <row r="70" spans="10:12">
      <c r="J70" s="6"/>
      <c r="K70" s="6"/>
      <c r="L70" s="6"/>
    </row>
    <row r="71" spans="10:12">
      <c r="J71" s="6"/>
      <c r="K71" s="6"/>
      <c r="L71" s="6"/>
    </row>
    <row r="72" spans="10:12">
      <c r="J72" s="6"/>
      <c r="K72" s="6"/>
      <c r="L72" s="6"/>
    </row>
    <row r="73" spans="10:12">
      <c r="J73" s="6"/>
      <c r="K73" s="6"/>
      <c r="L73" s="6"/>
    </row>
    <row r="74" spans="10:12">
      <c r="J74" s="6"/>
      <c r="K74" s="6"/>
      <c r="L74" s="6"/>
    </row>
    <row r="75" spans="10:12">
      <c r="J75" s="6"/>
      <c r="K75" s="6"/>
      <c r="L75" s="6"/>
    </row>
    <row r="76" spans="10:12">
      <c r="J76" s="6"/>
      <c r="K76" s="6"/>
      <c r="L76" s="6"/>
    </row>
    <row r="77" spans="10:12">
      <c r="J77" s="6"/>
      <c r="K77" s="6"/>
      <c r="L77" s="6"/>
    </row>
    <row r="78" spans="10:12">
      <c r="J78" s="6"/>
      <c r="K78" s="6"/>
      <c r="L78" s="6"/>
    </row>
    <row r="79" spans="10:12">
      <c r="J79" s="6"/>
      <c r="K79" s="6"/>
      <c r="L79" s="6"/>
    </row>
    <row r="80" spans="10:12">
      <c r="J80" s="6"/>
      <c r="K80" s="6"/>
      <c r="L80" s="6"/>
    </row>
    <row r="81" spans="10:12">
      <c r="J81" s="6"/>
      <c r="K81" s="6"/>
      <c r="L81" s="6"/>
    </row>
    <row r="82" spans="10:12">
      <c r="J82" s="6"/>
      <c r="K82" s="6"/>
      <c r="L82" s="6"/>
    </row>
    <row r="83" spans="10:12">
      <c r="J83" s="6"/>
      <c r="K83" s="6"/>
      <c r="L83" s="6"/>
    </row>
    <row r="84" spans="10:12">
      <c r="J84" s="6"/>
      <c r="K84" s="6"/>
      <c r="L84" s="6"/>
    </row>
    <row r="85" spans="10:12">
      <c r="J85" s="6"/>
      <c r="K85" s="6"/>
      <c r="L85" s="6"/>
    </row>
    <row r="86" spans="10:12">
      <c r="J86" s="6"/>
      <c r="K86" s="6"/>
      <c r="L86" s="6"/>
    </row>
    <row r="87" spans="10:12">
      <c r="J87" s="6"/>
      <c r="K87" s="6"/>
      <c r="L87" s="6"/>
    </row>
    <row r="88" spans="10:12">
      <c r="J88" s="6"/>
      <c r="K88" s="6"/>
      <c r="L88" s="6"/>
    </row>
    <row r="89" spans="10:12">
      <c r="J89" s="6"/>
      <c r="K89" s="6"/>
      <c r="L89" s="6"/>
    </row>
    <row r="90" spans="10:12">
      <c r="J90" s="6"/>
      <c r="K90" s="6"/>
      <c r="L90" s="6"/>
    </row>
    <row r="91" spans="10:12">
      <c r="J91" s="6"/>
      <c r="K91" s="6"/>
      <c r="L91" s="6"/>
    </row>
    <row r="92" spans="10:12">
      <c r="J92" s="6"/>
      <c r="K92" s="6"/>
      <c r="L92" s="6"/>
    </row>
    <row r="93" spans="10:12">
      <c r="J93" s="6"/>
      <c r="K93" s="6"/>
      <c r="L93" s="6"/>
    </row>
    <row r="94" spans="10:12">
      <c r="J94" s="6"/>
      <c r="K94" s="6"/>
      <c r="L94" s="6"/>
    </row>
    <row r="95" spans="10:12">
      <c r="J95" s="6"/>
      <c r="K95" s="6"/>
      <c r="L95" s="6"/>
    </row>
    <row r="96" spans="10:12">
      <c r="J96" s="6"/>
      <c r="K96" s="6"/>
      <c r="L96" s="6"/>
    </row>
    <row r="97" spans="10:12">
      <c r="J97" s="6"/>
      <c r="K97" s="6"/>
      <c r="L97" s="6"/>
    </row>
    <row r="98" spans="10:12">
      <c r="J98" s="6"/>
      <c r="K98" s="6"/>
      <c r="L98" s="6"/>
    </row>
    <row r="99" spans="10:12">
      <c r="J99" s="6"/>
      <c r="K99" s="6"/>
      <c r="L99" s="6"/>
    </row>
    <row r="100" spans="10:12" s="1" customFormat="1"/>
  </sheetData>
  <mergeCells count="1">
    <mergeCell ref="G3:I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02"/>
  <sheetViews>
    <sheetView showGridLines="0" topLeftCell="A52" zoomScale="120" zoomScaleNormal="120" workbookViewId="0">
      <selection activeCell="J69" sqref="J69"/>
    </sheetView>
  </sheetViews>
  <sheetFormatPr defaultColWidth="0" defaultRowHeight="15" zeroHeight="1"/>
  <cols>
    <col min="1" max="1" width="3.7109375" style="1" customWidth="1"/>
    <col min="2" max="2" width="9.140625" customWidth="1"/>
    <col min="3" max="3" width="40.7109375" customWidth="1"/>
    <col min="4" max="9" width="9.140625" customWidth="1"/>
    <col min="10" max="12" width="13.140625" customWidth="1"/>
    <col min="13" max="13" width="3.7109375" style="1" customWidth="1"/>
    <col min="14" max="16384" width="9.140625" hidden="1"/>
  </cols>
  <sheetData>
    <row r="1" spans="2:12" s="1" customFormat="1"/>
    <row r="2" spans="2:12">
      <c r="B2" s="2" t="str">
        <f>Company_name</f>
        <v>Coca-Cola Bottling Co. Consolidated (COKE)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t="15.75" thickBot="1">
      <c r="B3" s="2"/>
      <c r="C3" s="2"/>
      <c r="D3" s="2"/>
      <c r="E3" s="2"/>
      <c r="F3" s="2"/>
      <c r="G3" s="257" t="s">
        <v>3</v>
      </c>
      <c r="H3" s="257"/>
      <c r="I3" s="257"/>
      <c r="J3" s="2"/>
      <c r="K3" s="2" t="s">
        <v>17</v>
      </c>
      <c r="L3" s="2"/>
    </row>
    <row r="4" spans="2:12">
      <c r="B4" s="2" t="str">
        <f>Currency</f>
        <v>(in thousands, except per share data)</v>
      </c>
      <c r="C4" s="2"/>
      <c r="D4" s="10">
        <f>EDATE(E4,-12)</f>
        <v>41974</v>
      </c>
      <c r="E4" s="10">
        <f>EDATE(F4,-12)</f>
        <v>42339</v>
      </c>
      <c r="F4" s="10">
        <f>EDATE(G4,-12)</f>
        <v>42705</v>
      </c>
      <c r="G4" s="5">
        <f>EDATE(H4,-12)</f>
        <v>43070</v>
      </c>
      <c r="H4" s="5">
        <f>EDATE(I4,-12)</f>
        <v>43435</v>
      </c>
      <c r="I4" s="5">
        <f>LHY</f>
        <v>43800</v>
      </c>
      <c r="J4" s="5">
        <f>EDATE(I4,12)</f>
        <v>44166</v>
      </c>
      <c r="K4" s="5">
        <f t="shared" ref="K4:L4" si="0">EDATE(J4,12)</f>
        <v>44531</v>
      </c>
      <c r="L4" s="5">
        <f t="shared" si="0"/>
        <v>44896</v>
      </c>
    </row>
    <row r="5" spans="2:12">
      <c r="J5" s="6"/>
      <c r="K5" s="6"/>
      <c r="L5" s="6"/>
    </row>
    <row r="6" spans="2:12">
      <c r="C6" s="25" t="s">
        <v>42</v>
      </c>
      <c r="D6" s="25"/>
      <c r="E6" s="26"/>
      <c r="F6" s="26"/>
      <c r="H6" s="27"/>
      <c r="I6" s="27"/>
      <c r="J6" s="6"/>
      <c r="K6" s="6"/>
      <c r="L6" s="6"/>
    </row>
    <row r="7" spans="2:12">
      <c r="C7" s="28" t="s">
        <v>43</v>
      </c>
      <c r="D7" s="28"/>
      <c r="E7" s="26"/>
      <c r="F7" s="26"/>
      <c r="H7" s="27"/>
      <c r="I7" s="27"/>
      <c r="J7" s="100"/>
      <c r="K7" s="100"/>
      <c r="L7" s="100"/>
    </row>
    <row r="8" spans="2:12">
      <c r="C8" s="29" t="s">
        <v>13</v>
      </c>
      <c r="D8" s="30">
        <v>9095</v>
      </c>
      <c r="E8" s="31">
        <v>55498</v>
      </c>
      <c r="F8" s="31">
        <v>21850</v>
      </c>
      <c r="G8" s="32">
        <v>16902</v>
      </c>
      <c r="H8" s="33">
        <v>13548</v>
      </c>
      <c r="I8" s="33">
        <v>9614</v>
      </c>
      <c r="J8" s="100">
        <f>CashFlowStatement!J61</f>
        <v>-34726.308141517031</v>
      </c>
      <c r="K8" s="100">
        <f>CashFlowStatement!K61</f>
        <v>-243492.65176202223</v>
      </c>
      <c r="L8" s="100">
        <f>CashFlowStatement!L61</f>
        <v>-235234.76772027567</v>
      </c>
    </row>
    <row r="9" spans="2:12">
      <c r="C9" s="29" t="s">
        <v>44</v>
      </c>
      <c r="D9" s="34">
        <v>125726</v>
      </c>
      <c r="E9" s="31">
        <v>186126</v>
      </c>
      <c r="F9" s="31">
        <v>271661</v>
      </c>
      <c r="G9" s="32">
        <v>396022</v>
      </c>
      <c r="H9" s="33">
        <v>436890</v>
      </c>
      <c r="I9" s="33">
        <v>433552</v>
      </c>
      <c r="J9" s="100">
        <f>I9*(1+3%)</f>
        <v>446558.56</v>
      </c>
      <c r="K9" s="100">
        <f t="shared" ref="K9:L9" si="1">J9*(1+3%)</f>
        <v>459955.31680000003</v>
      </c>
      <c r="L9" s="100">
        <f t="shared" si="1"/>
        <v>473753.97630400007</v>
      </c>
    </row>
    <row r="10" spans="2:12">
      <c r="C10" s="29" t="s">
        <v>45</v>
      </c>
      <c r="D10" s="29"/>
      <c r="E10" s="31">
        <v>-2117</v>
      </c>
      <c r="F10" s="31">
        <v>-4448</v>
      </c>
      <c r="G10" s="32">
        <v>-7606</v>
      </c>
      <c r="H10" s="33">
        <v>-9141</v>
      </c>
      <c r="I10" s="33">
        <v>-13782</v>
      </c>
      <c r="J10" s="100">
        <f t="shared" ref="J10:L10" si="2">I10*(1+3%)</f>
        <v>-14195.460000000001</v>
      </c>
      <c r="K10" s="100">
        <f t="shared" si="2"/>
        <v>-14621.323800000002</v>
      </c>
      <c r="L10" s="100">
        <f t="shared" si="2"/>
        <v>-15059.963514000003</v>
      </c>
    </row>
    <row r="11" spans="2:12">
      <c r="C11" s="29" t="s">
        <v>46</v>
      </c>
      <c r="D11" s="30">
        <v>22741</v>
      </c>
      <c r="E11" s="31">
        <v>28564</v>
      </c>
      <c r="F11" s="31">
        <v>67591</v>
      </c>
      <c r="G11" s="32">
        <v>65996</v>
      </c>
      <c r="H11" s="33">
        <v>44915</v>
      </c>
      <c r="I11" s="33">
        <v>62411</v>
      </c>
      <c r="J11" s="100">
        <f t="shared" ref="J11:L11" si="3">I11*(1+3%)</f>
        <v>64283.33</v>
      </c>
      <c r="K11" s="100">
        <f t="shared" si="3"/>
        <v>66211.829899999997</v>
      </c>
      <c r="L11" s="100">
        <f t="shared" si="3"/>
        <v>68198.184796999994</v>
      </c>
    </row>
    <row r="12" spans="2:12">
      <c r="C12" s="29" t="s">
        <v>47</v>
      </c>
      <c r="D12" s="30">
        <v>14531</v>
      </c>
      <c r="E12" s="31">
        <v>24047</v>
      </c>
      <c r="F12" s="31">
        <v>29770</v>
      </c>
      <c r="G12" s="32">
        <v>38960</v>
      </c>
      <c r="H12" s="33">
        <v>30493</v>
      </c>
      <c r="I12" s="33">
        <v>43094</v>
      </c>
      <c r="J12" s="100">
        <f t="shared" ref="J12:L12" si="4">I12*(1+3%)</f>
        <v>44386.82</v>
      </c>
      <c r="K12" s="100">
        <f t="shared" si="4"/>
        <v>45718.424599999998</v>
      </c>
      <c r="L12" s="100">
        <f t="shared" si="4"/>
        <v>47089.977337999997</v>
      </c>
    </row>
    <row r="13" spans="2:12">
      <c r="C13" s="29" t="s">
        <v>12</v>
      </c>
      <c r="D13" s="30">
        <v>70740</v>
      </c>
      <c r="E13" s="31">
        <v>89464</v>
      </c>
      <c r="F13" s="31">
        <v>143553</v>
      </c>
      <c r="G13" s="32">
        <v>183618</v>
      </c>
      <c r="H13" s="33">
        <v>210033</v>
      </c>
      <c r="I13" s="33">
        <v>225926</v>
      </c>
      <c r="J13" s="100">
        <f t="shared" ref="J13:L13" si="5">I13*(1+3%)</f>
        <v>232703.78</v>
      </c>
      <c r="K13" s="100">
        <f t="shared" si="5"/>
        <v>239684.8934</v>
      </c>
      <c r="L13" s="100">
        <f t="shared" si="5"/>
        <v>246875.440202</v>
      </c>
    </row>
    <row r="14" spans="2:12">
      <c r="C14" s="29" t="s">
        <v>48</v>
      </c>
      <c r="D14" s="30">
        <v>44168</v>
      </c>
      <c r="E14" s="68">
        <v>53337</v>
      </c>
      <c r="F14" s="68">
        <v>63834</v>
      </c>
      <c r="G14" s="32">
        <v>100646</v>
      </c>
      <c r="H14" s="49">
        <v>70680</v>
      </c>
      <c r="I14" s="49">
        <v>69461</v>
      </c>
      <c r="J14" s="100">
        <f t="shared" ref="J14:L14" si="6">I14*(1+3%)</f>
        <v>71544.83</v>
      </c>
      <c r="K14" s="100">
        <f t="shared" si="6"/>
        <v>73691.174899999998</v>
      </c>
      <c r="L14" s="100">
        <f t="shared" si="6"/>
        <v>75901.910147000002</v>
      </c>
    </row>
    <row r="15" spans="2:12" ht="15.75" thickBot="1">
      <c r="C15" s="69" t="s">
        <v>11</v>
      </c>
      <c r="D15" s="70">
        <v>287001</v>
      </c>
      <c r="E15" s="71">
        <v>434919</v>
      </c>
      <c r="F15" s="71">
        <v>593811</v>
      </c>
      <c r="G15" s="72">
        <v>794538</v>
      </c>
      <c r="H15" s="73">
        <v>797418</v>
      </c>
      <c r="I15" s="73">
        <v>830276</v>
      </c>
      <c r="J15" s="66">
        <f>SUM(J8:J14)</f>
        <v>810555.55185848288</v>
      </c>
      <c r="K15" s="66">
        <f t="shared" ref="K15:L15" si="7">SUM(K8:K14)</f>
        <v>627147.66403797781</v>
      </c>
      <c r="L15" s="66">
        <f t="shared" si="7"/>
        <v>661524.75755372434</v>
      </c>
    </row>
    <row r="16" spans="2:12" ht="16.5" thickTop="1" thickBot="1">
      <c r="C16" s="262" t="s">
        <v>10</v>
      </c>
      <c r="D16" s="266">
        <v>358232</v>
      </c>
      <c r="E16" s="269">
        <v>525820</v>
      </c>
      <c r="F16" s="269">
        <v>812989</v>
      </c>
      <c r="G16" s="264">
        <v>1031388</v>
      </c>
      <c r="H16" s="265">
        <v>990532</v>
      </c>
      <c r="I16" s="265">
        <v>997403</v>
      </c>
      <c r="J16" s="252">
        <f>'FixedAssetModule(FAM)'!I88</f>
        <v>1006599.7631075035</v>
      </c>
      <c r="K16" s="252">
        <f>'FixedAssetModule(FAM)'!J88</f>
        <v>1017995.395445015</v>
      </c>
      <c r="L16" s="252">
        <f>'FixedAssetModule(FAM)'!K88</f>
        <v>1031477.4437307641</v>
      </c>
    </row>
    <row r="17" spans="3:12">
      <c r="C17" s="270" t="s">
        <v>49</v>
      </c>
      <c r="D17" s="266">
        <v>520672</v>
      </c>
      <c r="E17" s="269">
        <v>527540</v>
      </c>
      <c r="F17" s="269">
        <v>533040</v>
      </c>
      <c r="G17" s="263"/>
      <c r="H17" s="265"/>
      <c r="I17" s="265"/>
      <c r="J17" s="100"/>
      <c r="K17" s="100"/>
      <c r="L17" s="100"/>
    </row>
    <row r="18" spans="3:12">
      <c r="C18" s="262" t="s">
        <v>50</v>
      </c>
      <c r="D18" s="262"/>
      <c r="E18" s="263"/>
      <c r="F18" s="263"/>
      <c r="G18" s="263"/>
      <c r="H18" s="271" t="s">
        <v>27</v>
      </c>
      <c r="I18" s="265">
        <v>111376</v>
      </c>
      <c r="J18" s="101">
        <v>111376</v>
      </c>
      <c r="K18" s="101">
        <v>111376</v>
      </c>
      <c r="L18" s="101">
        <v>111376</v>
      </c>
    </row>
    <row r="19" spans="3:12">
      <c r="C19" s="262" t="s">
        <v>51</v>
      </c>
      <c r="D19" s="266">
        <v>42971</v>
      </c>
      <c r="E19" s="269">
        <v>40145</v>
      </c>
      <c r="F19" s="269">
        <v>33552</v>
      </c>
      <c r="G19" s="264">
        <v>29837</v>
      </c>
      <c r="H19" s="265">
        <v>23720</v>
      </c>
      <c r="I19" s="265">
        <v>17960</v>
      </c>
      <c r="J19" s="100">
        <f t="shared" ref="J19" si="8">I19*(1+3%)</f>
        <v>18498.8</v>
      </c>
      <c r="K19" s="100">
        <f t="shared" ref="K19:L19" si="9">J19*(1+3%)</f>
        <v>19053.763999999999</v>
      </c>
      <c r="L19" s="100">
        <f t="shared" si="9"/>
        <v>19625.376919999999</v>
      </c>
    </row>
    <row r="20" spans="3:12">
      <c r="C20" s="29" t="s">
        <v>52</v>
      </c>
      <c r="D20" s="30">
        <v>60832</v>
      </c>
      <c r="E20" s="31">
        <v>63739</v>
      </c>
      <c r="F20" s="31">
        <v>86091</v>
      </c>
      <c r="G20" s="32">
        <v>116209</v>
      </c>
      <c r="H20" s="33">
        <v>115490</v>
      </c>
      <c r="I20" s="33">
        <v>113269</v>
      </c>
      <c r="J20" s="100">
        <f t="shared" ref="J20:L20" si="10">I20*(1+3%)</f>
        <v>116667.07</v>
      </c>
      <c r="K20" s="100">
        <f t="shared" si="10"/>
        <v>120167.08210000001</v>
      </c>
      <c r="L20" s="100">
        <f t="shared" si="10"/>
        <v>123772.09456300002</v>
      </c>
    </row>
    <row r="21" spans="3:12">
      <c r="C21" s="29" t="s">
        <v>53</v>
      </c>
      <c r="D21" s="30">
        <v>106220</v>
      </c>
      <c r="E21" s="31">
        <v>117954</v>
      </c>
      <c r="F21" s="31">
        <v>144586</v>
      </c>
      <c r="G21" s="32">
        <v>169316</v>
      </c>
      <c r="H21" s="33">
        <v>165903</v>
      </c>
      <c r="I21" s="33">
        <v>165903</v>
      </c>
      <c r="J21" s="100">
        <f t="shared" ref="J21:L21" si="11">I21*(1+3%)</f>
        <v>170880.09</v>
      </c>
      <c r="K21" s="100">
        <f t="shared" si="11"/>
        <v>176006.4927</v>
      </c>
      <c r="L21" s="100">
        <f t="shared" si="11"/>
        <v>181286.687481</v>
      </c>
    </row>
    <row r="22" spans="3:12">
      <c r="C22" s="262" t="s">
        <v>54</v>
      </c>
      <c r="D22" s="262"/>
      <c r="E22" s="263"/>
      <c r="F22" s="263"/>
      <c r="G22" s="264">
        <v>913352</v>
      </c>
      <c r="H22" s="265">
        <v>900383</v>
      </c>
      <c r="I22" s="265">
        <v>876096</v>
      </c>
      <c r="J22" s="100">
        <f t="shared" ref="J22:L22" si="12">I22*(1+3%)</f>
        <v>902378.88</v>
      </c>
      <c r="K22" s="100">
        <f t="shared" si="12"/>
        <v>929450.24640000006</v>
      </c>
      <c r="L22" s="100">
        <f t="shared" si="12"/>
        <v>957333.75379200012</v>
      </c>
    </row>
    <row r="23" spans="3:12" ht="24">
      <c r="C23" s="262" t="s">
        <v>55</v>
      </c>
      <c r="D23" s="266">
        <v>57148</v>
      </c>
      <c r="E23" s="267">
        <v>136448</v>
      </c>
      <c r="F23" s="267">
        <v>245415</v>
      </c>
      <c r="G23" s="264">
        <v>18320</v>
      </c>
      <c r="H23" s="268">
        <v>16482</v>
      </c>
      <c r="I23" s="268">
        <v>14643</v>
      </c>
      <c r="J23" s="100">
        <f t="shared" ref="J23:L23" si="13">I23*(1+3%)</f>
        <v>15082.29</v>
      </c>
      <c r="K23" s="100">
        <f t="shared" si="13"/>
        <v>15534.758700000002</v>
      </c>
      <c r="L23" s="100">
        <f t="shared" si="13"/>
        <v>16000.801461000003</v>
      </c>
    </row>
    <row r="24" spans="3:12" ht="15.75" thickBot="1">
      <c r="C24" s="69" t="s">
        <v>9</v>
      </c>
      <c r="D24" s="70">
        <v>1433076</v>
      </c>
      <c r="E24" s="71">
        <v>1846565</v>
      </c>
      <c r="F24" s="71">
        <v>2449484</v>
      </c>
      <c r="G24" s="72">
        <v>3072960</v>
      </c>
      <c r="H24" s="73">
        <v>3009928</v>
      </c>
      <c r="I24" s="73">
        <v>3126926</v>
      </c>
      <c r="J24" s="66">
        <f>SUM(J15:J23)</f>
        <v>3152038.4449659865</v>
      </c>
      <c r="K24" s="66">
        <f t="shared" ref="K24:L24" si="14">SUM(K15:K23)</f>
        <v>3016731.4033829933</v>
      </c>
      <c r="L24" s="66">
        <f t="shared" si="14"/>
        <v>3102396.9155014884</v>
      </c>
    </row>
    <row r="25" spans="3:12" ht="15.75" thickTop="1">
      <c r="C25" s="35"/>
      <c r="H25" s="74"/>
      <c r="I25" s="74"/>
      <c r="J25" s="100"/>
      <c r="K25" s="100"/>
      <c r="L25" s="100"/>
    </row>
    <row r="26" spans="3:12">
      <c r="C26" s="25" t="s">
        <v>56</v>
      </c>
      <c r="D26" s="25"/>
      <c r="G26" s="37"/>
      <c r="H26" s="38"/>
      <c r="I26" s="38"/>
      <c r="J26" s="100"/>
      <c r="K26" s="100"/>
      <c r="L26" s="100"/>
    </row>
    <row r="27" spans="3:12">
      <c r="C27" s="28" t="s">
        <v>8</v>
      </c>
      <c r="D27" s="28"/>
      <c r="G27" s="26"/>
      <c r="H27" s="27"/>
      <c r="I27" s="27"/>
      <c r="J27" s="100"/>
      <c r="K27" s="100"/>
      <c r="L27" s="100"/>
    </row>
    <row r="28" spans="3:12">
      <c r="C28" s="29" t="s">
        <v>57</v>
      </c>
      <c r="D28" s="29"/>
      <c r="E28" s="31">
        <v>7063</v>
      </c>
      <c r="F28" s="31">
        <v>7527</v>
      </c>
      <c r="H28" s="27" t="s">
        <v>27</v>
      </c>
      <c r="I28" s="33">
        <v>15024</v>
      </c>
      <c r="J28" s="100">
        <f>I28</f>
        <v>15024</v>
      </c>
      <c r="K28" s="100">
        <f t="shared" ref="K28:L28" si="15">J28</f>
        <v>15024</v>
      </c>
      <c r="L28" s="100">
        <f t="shared" si="15"/>
        <v>15024</v>
      </c>
    </row>
    <row r="29" spans="3:12" ht="24">
      <c r="C29" s="29" t="s">
        <v>58</v>
      </c>
      <c r="D29" s="30">
        <v>6446</v>
      </c>
      <c r="G29" s="32">
        <v>8221</v>
      </c>
      <c r="H29" s="33">
        <v>8617</v>
      </c>
      <c r="I29" s="33">
        <v>9403</v>
      </c>
      <c r="J29" s="100">
        <f t="shared" ref="J29:L29" si="16">I29*(1+3%)</f>
        <v>9685.09</v>
      </c>
      <c r="K29" s="100">
        <f t="shared" si="16"/>
        <v>9975.6427000000003</v>
      </c>
      <c r="L29" s="100">
        <f t="shared" si="16"/>
        <v>10274.911981000001</v>
      </c>
    </row>
    <row r="30" spans="3:12">
      <c r="C30" s="29" t="s">
        <v>59</v>
      </c>
      <c r="D30" s="30">
        <v>58640</v>
      </c>
      <c r="E30" s="31">
        <v>82937</v>
      </c>
      <c r="F30" s="31">
        <v>116821</v>
      </c>
      <c r="G30" s="32">
        <v>197049</v>
      </c>
      <c r="H30" s="33">
        <v>152040</v>
      </c>
      <c r="I30" s="33">
        <v>187476</v>
      </c>
      <c r="J30" s="100">
        <f t="shared" ref="J30:L30" si="17">I30*(1+3%)</f>
        <v>193100.28</v>
      </c>
      <c r="K30" s="100">
        <f t="shared" si="17"/>
        <v>198893.28839999999</v>
      </c>
      <c r="L30" s="100">
        <f t="shared" si="17"/>
        <v>204860.08705199999</v>
      </c>
    </row>
    <row r="31" spans="3:12">
      <c r="C31" s="29" t="s">
        <v>60</v>
      </c>
      <c r="D31" s="30">
        <v>51227</v>
      </c>
      <c r="E31" s="31">
        <v>79065</v>
      </c>
      <c r="F31" s="31">
        <v>135155</v>
      </c>
      <c r="G31" s="32">
        <v>171042</v>
      </c>
      <c r="H31" s="33">
        <v>112425</v>
      </c>
      <c r="I31" s="33">
        <v>108699</v>
      </c>
      <c r="J31" s="100">
        <f t="shared" ref="J31:L31" si="18">I31*(1+3%)</f>
        <v>111959.97</v>
      </c>
      <c r="K31" s="100">
        <f t="shared" si="18"/>
        <v>115318.7691</v>
      </c>
      <c r="L31" s="100">
        <f t="shared" si="18"/>
        <v>118778.332173</v>
      </c>
    </row>
    <row r="32" spans="3:12">
      <c r="C32" s="29" t="s">
        <v>61</v>
      </c>
      <c r="D32" s="30">
        <v>68775</v>
      </c>
      <c r="E32" s="31">
        <v>104168</v>
      </c>
      <c r="F32" s="31">
        <v>133885</v>
      </c>
      <c r="G32" s="32">
        <v>185530</v>
      </c>
      <c r="H32" s="33">
        <v>250246</v>
      </c>
      <c r="I32" s="33">
        <v>208834</v>
      </c>
      <c r="J32" s="100">
        <f t="shared" ref="J32:L32" si="19">I32*(1+3%)</f>
        <v>215099.02000000002</v>
      </c>
      <c r="K32" s="100">
        <f t="shared" si="19"/>
        <v>221551.99060000002</v>
      </c>
      <c r="L32" s="100">
        <f t="shared" si="19"/>
        <v>228198.55031800002</v>
      </c>
    </row>
    <row r="33" spans="2:12">
      <c r="C33" s="29" t="s">
        <v>62</v>
      </c>
      <c r="D33" s="30">
        <v>38677</v>
      </c>
      <c r="E33" s="31">
        <v>49839</v>
      </c>
      <c r="F33" s="31">
        <v>60880</v>
      </c>
      <c r="G33" s="32">
        <v>72484</v>
      </c>
      <c r="H33" s="33">
        <v>72316</v>
      </c>
      <c r="I33" s="33">
        <v>87813</v>
      </c>
      <c r="J33" s="100">
        <f t="shared" ref="J33:L33" si="20">I33*(1+3%)</f>
        <v>90447.39</v>
      </c>
      <c r="K33" s="100">
        <f t="shared" si="20"/>
        <v>93160.811700000006</v>
      </c>
      <c r="L33" s="100">
        <f t="shared" si="20"/>
        <v>95955.636051000009</v>
      </c>
    </row>
    <row r="34" spans="2:12">
      <c r="C34" s="29" t="s">
        <v>63</v>
      </c>
      <c r="D34" s="30">
        <v>3655</v>
      </c>
      <c r="E34" s="68">
        <v>3481</v>
      </c>
      <c r="F34" s="68">
        <v>3639</v>
      </c>
      <c r="G34" s="32">
        <v>5126</v>
      </c>
      <c r="H34" s="49">
        <v>6093</v>
      </c>
      <c r="I34" s="49">
        <v>4946</v>
      </c>
      <c r="J34" s="100">
        <f t="shared" ref="J34:L36" si="21">I34*(1+3%)</f>
        <v>5094.38</v>
      </c>
      <c r="K34" s="100">
        <f t="shared" si="21"/>
        <v>5247.2114000000001</v>
      </c>
      <c r="L34" s="100">
        <f t="shared" si="21"/>
        <v>5404.6277420000006</v>
      </c>
    </row>
    <row r="35" spans="2:12" ht="15.75" thickBot="1">
      <c r="C35" s="69" t="s">
        <v>7</v>
      </c>
      <c r="D35" s="70">
        <v>227420</v>
      </c>
      <c r="E35" s="71">
        <v>326553</v>
      </c>
      <c r="F35" s="71">
        <v>457907</v>
      </c>
      <c r="G35" s="72">
        <v>639452</v>
      </c>
      <c r="H35" s="66">
        <f>SUM(H28:H34)</f>
        <v>601737</v>
      </c>
      <c r="I35" s="73">
        <v>622195</v>
      </c>
      <c r="J35" s="66">
        <f>SUM(J28:J34)</f>
        <v>640410.13</v>
      </c>
      <c r="K35" s="66">
        <f t="shared" ref="K35:L35" si="22">SUM(K28:K34)</f>
        <v>659171.71389999997</v>
      </c>
      <c r="L35" s="66">
        <f t="shared" si="22"/>
        <v>678496.1453170001</v>
      </c>
    </row>
    <row r="36" spans="2:12" ht="15.75" thickTop="1">
      <c r="C36" s="29" t="s">
        <v>64</v>
      </c>
      <c r="D36" s="30">
        <v>140000</v>
      </c>
      <c r="E36" s="31">
        <v>146944</v>
      </c>
      <c r="F36" s="31">
        <v>174854</v>
      </c>
      <c r="G36" s="32">
        <v>112364</v>
      </c>
      <c r="H36" s="33">
        <v>127174</v>
      </c>
      <c r="I36" s="33">
        <v>125130</v>
      </c>
      <c r="J36" s="100">
        <f t="shared" si="21"/>
        <v>128883.90000000001</v>
      </c>
      <c r="K36" s="100">
        <f t="shared" si="21"/>
        <v>132750.41700000002</v>
      </c>
      <c r="L36" s="100">
        <f t="shared" si="21"/>
        <v>136732.92951000002</v>
      </c>
    </row>
    <row r="37" spans="2:12">
      <c r="C37" s="29" t="s">
        <v>65</v>
      </c>
      <c r="D37" s="30">
        <v>134100</v>
      </c>
      <c r="E37" s="31">
        <v>115197</v>
      </c>
      <c r="F37" s="31">
        <v>126679</v>
      </c>
      <c r="G37" s="32">
        <v>118392</v>
      </c>
      <c r="H37" s="33">
        <v>85682</v>
      </c>
      <c r="I37" s="33">
        <v>114831</v>
      </c>
      <c r="J37" s="100">
        <f t="shared" ref="J37:L37" si="23">I37*(1+3%)</f>
        <v>118275.93000000001</v>
      </c>
      <c r="K37" s="100">
        <f t="shared" si="23"/>
        <v>121824.20790000001</v>
      </c>
      <c r="L37" s="100">
        <f t="shared" si="23"/>
        <v>125478.93413700002</v>
      </c>
    </row>
    <row r="38" spans="2:12">
      <c r="C38" s="29" t="s">
        <v>66</v>
      </c>
      <c r="D38" s="30">
        <v>177250</v>
      </c>
      <c r="E38" s="31">
        <v>267090</v>
      </c>
      <c r="F38" s="31">
        <v>378572</v>
      </c>
      <c r="G38" s="32">
        <v>620579</v>
      </c>
      <c r="H38" s="33">
        <v>609135</v>
      </c>
      <c r="I38" s="33">
        <v>668566</v>
      </c>
      <c r="J38" s="100">
        <f t="shared" ref="J38:L40" si="24">I38*(1+3%)</f>
        <v>688622.98</v>
      </c>
      <c r="K38" s="100">
        <f t="shared" si="24"/>
        <v>709281.66940000001</v>
      </c>
      <c r="L38" s="100">
        <f t="shared" si="24"/>
        <v>730560.11948200001</v>
      </c>
    </row>
    <row r="39" spans="2:12">
      <c r="C39" s="29" t="s">
        <v>67</v>
      </c>
      <c r="D39" s="29"/>
      <c r="H39" s="27" t="s">
        <v>27</v>
      </c>
      <c r="I39" s="33">
        <v>97765</v>
      </c>
      <c r="J39" s="100">
        <f>I39</f>
        <v>97765</v>
      </c>
      <c r="K39" s="100">
        <f t="shared" ref="K39:L39" si="25">J39</f>
        <v>97765</v>
      </c>
      <c r="L39" s="100">
        <f t="shared" si="25"/>
        <v>97765</v>
      </c>
    </row>
    <row r="40" spans="2:12" ht="24">
      <c r="C40" s="29" t="s">
        <v>68</v>
      </c>
      <c r="D40" s="30">
        <v>52604</v>
      </c>
      <c r="E40" s="31">
        <v>48721</v>
      </c>
      <c r="F40" s="31">
        <v>41194</v>
      </c>
      <c r="G40" s="32">
        <v>35248</v>
      </c>
      <c r="H40" s="33">
        <v>26631</v>
      </c>
      <c r="I40" s="33">
        <v>17403</v>
      </c>
      <c r="J40" s="100">
        <f t="shared" si="24"/>
        <v>17925.09</v>
      </c>
      <c r="K40" s="100">
        <f t="shared" si="24"/>
        <v>18462.842700000001</v>
      </c>
      <c r="L40" s="100">
        <f t="shared" si="24"/>
        <v>19016.727981</v>
      </c>
    </row>
    <row r="41" spans="2:12">
      <c r="C41" s="29" t="s">
        <v>69</v>
      </c>
      <c r="D41" s="30">
        <v>444759</v>
      </c>
      <c r="E41" s="68">
        <v>619628</v>
      </c>
      <c r="F41" s="68">
        <v>907254</v>
      </c>
      <c r="G41" s="32">
        <v>1088018</v>
      </c>
      <c r="H41" s="49">
        <v>1104403</v>
      </c>
      <c r="I41" s="49">
        <v>1029920</v>
      </c>
      <c r="J41" s="255">
        <f>'DebtRepaymentS.(DRS)'!I64</f>
        <v>984915.91496598639</v>
      </c>
      <c r="K41" s="255">
        <f>'DebtRepaymentS.(DRS)'!J64</f>
        <v>767417.95748299325</v>
      </c>
      <c r="L41" s="255">
        <f>'DebtRepaymentS.(DRS)'!K64</f>
        <v>767416.93622448982</v>
      </c>
    </row>
    <row r="42" spans="2:12" s="1" customFormat="1" ht="15.75" thickBot="1">
      <c r="B42"/>
      <c r="C42" s="69" t="s">
        <v>6</v>
      </c>
      <c r="D42" s="70">
        <v>1176133</v>
      </c>
      <c r="E42" s="71">
        <v>1524133</v>
      </c>
      <c r="F42" s="71">
        <v>2086460</v>
      </c>
      <c r="G42" s="72">
        <v>2614053</v>
      </c>
      <c r="H42" s="73">
        <v>2554762</v>
      </c>
      <c r="I42" s="73">
        <v>2675810</v>
      </c>
      <c r="J42" s="66">
        <f>SUM(J35:J41)</f>
        <v>2676798.9449659865</v>
      </c>
      <c r="K42" s="66">
        <f t="shared" ref="K42:L42" si="26">SUM(K35:K41)</f>
        <v>2506673.8083829931</v>
      </c>
      <c r="L42" s="66">
        <f t="shared" si="26"/>
        <v>2555466.7926514898</v>
      </c>
    </row>
    <row r="43" spans="2:12" s="1" customFormat="1" ht="15.75" thickTop="1">
      <c r="B43"/>
      <c r="C43" s="76"/>
      <c r="D43" s="77"/>
      <c r="E43" s="78"/>
      <c r="F43" s="78"/>
      <c r="G43" s="79"/>
      <c r="H43" s="80"/>
      <c r="I43" s="80"/>
      <c r="J43" s="102"/>
      <c r="K43" s="102"/>
      <c r="L43" s="102"/>
    </row>
    <row r="44" spans="2:12" s="1" customFormat="1">
      <c r="B44"/>
      <c r="C44" s="29"/>
      <c r="D44"/>
      <c r="E44"/>
      <c r="F44"/>
      <c r="G44"/>
      <c r="H44" s="48"/>
      <c r="I44" s="48"/>
      <c r="J44" s="100"/>
      <c r="K44" s="100"/>
      <c r="L44" s="100"/>
    </row>
    <row r="45" spans="2:12" s="1" customFormat="1">
      <c r="B45"/>
      <c r="C45" s="25" t="s">
        <v>70</v>
      </c>
      <c r="D45" s="28"/>
      <c r="E45"/>
      <c r="F45"/>
      <c r="G45" s="26"/>
      <c r="H45" s="27"/>
      <c r="I45" s="27"/>
      <c r="J45" s="100"/>
      <c r="K45" s="100"/>
      <c r="L45" s="100"/>
    </row>
    <row r="46" spans="2:12" s="1" customFormat="1" ht="24">
      <c r="B46"/>
      <c r="C46" s="29" t="s">
        <v>71</v>
      </c>
      <c r="D46" s="29"/>
      <c r="E46"/>
      <c r="F46"/>
      <c r="G46" s="26"/>
      <c r="H46" s="27"/>
      <c r="I46" s="27"/>
      <c r="J46" s="100"/>
      <c r="K46" s="100"/>
      <c r="L46" s="100"/>
    </row>
    <row r="47" spans="2:12" s="1" customFormat="1" ht="24">
      <c r="B47"/>
      <c r="C47" s="29" t="s">
        <v>72</v>
      </c>
      <c r="D47" s="29"/>
      <c r="E47"/>
      <c r="F47"/>
      <c r="G47" s="26"/>
      <c r="H47" s="27"/>
      <c r="I47" s="27"/>
      <c r="J47" s="100"/>
      <c r="K47" s="100"/>
      <c r="L47" s="100"/>
    </row>
    <row r="48" spans="2:12" s="1" customFormat="1" ht="24">
      <c r="B48"/>
      <c r="C48" s="29" t="s">
        <v>73</v>
      </c>
      <c r="D48" s="29"/>
      <c r="E48"/>
      <c r="F48"/>
      <c r="G48" s="26"/>
      <c r="H48" s="27"/>
      <c r="I48" s="27"/>
      <c r="J48" s="100"/>
      <c r="K48" s="100"/>
      <c r="L48" s="100"/>
    </row>
    <row r="49" spans="2:12" s="1" customFormat="1" ht="24">
      <c r="B49"/>
      <c r="C49" s="29" t="s">
        <v>74</v>
      </c>
      <c r="D49" s="34">
        <v>10204</v>
      </c>
      <c r="E49" s="31">
        <v>10204</v>
      </c>
      <c r="F49" s="31">
        <v>10204</v>
      </c>
      <c r="G49" s="32">
        <v>10204</v>
      </c>
      <c r="H49" s="33">
        <v>10204</v>
      </c>
      <c r="I49" s="33">
        <v>10204</v>
      </c>
      <c r="J49" s="100">
        <f>'EQUITY SCHEDULE'!J17</f>
        <v>10204</v>
      </c>
      <c r="K49" s="100">
        <f>'EQUITY SCHEDULE'!K17</f>
        <v>10204</v>
      </c>
      <c r="L49" s="100">
        <f>'EQUITY SCHEDULE'!L17</f>
        <v>10204</v>
      </c>
    </row>
    <row r="50" spans="2:12" s="1" customFormat="1" ht="36">
      <c r="B50"/>
      <c r="C50" s="29" t="s">
        <v>75</v>
      </c>
      <c r="D50" s="34">
        <v>2756</v>
      </c>
      <c r="E50" s="31">
        <v>2777</v>
      </c>
      <c r="F50" s="31">
        <v>2798</v>
      </c>
      <c r="G50" s="32">
        <v>2819</v>
      </c>
      <c r="H50" s="33">
        <v>2839</v>
      </c>
      <c r="I50" s="33">
        <v>2860</v>
      </c>
      <c r="J50" s="100">
        <f>'EQUITY SCHEDULE'!J30</f>
        <v>2881</v>
      </c>
      <c r="K50" s="100">
        <f>'EQUITY SCHEDULE'!K30</f>
        <v>2902</v>
      </c>
      <c r="L50" s="100">
        <f>'EQUITY SCHEDULE'!L30</f>
        <v>2923</v>
      </c>
    </row>
    <row r="51" spans="2:12" s="1" customFormat="1" ht="24">
      <c r="B51"/>
      <c r="C51" s="29" t="s">
        <v>76</v>
      </c>
      <c r="D51" s="29"/>
      <c r="E51" s="26"/>
      <c r="F51" s="26"/>
      <c r="G51" s="32"/>
      <c r="H51" s="27"/>
      <c r="I51" s="27"/>
      <c r="J51" s="100"/>
      <c r="K51" s="100"/>
      <c r="L51" s="100"/>
    </row>
    <row r="52" spans="2:12" s="1" customFormat="1">
      <c r="B52"/>
      <c r="C52" s="29" t="s">
        <v>77</v>
      </c>
      <c r="D52" s="30">
        <v>110860</v>
      </c>
      <c r="E52" s="31">
        <v>113064</v>
      </c>
      <c r="F52" s="31">
        <v>116769</v>
      </c>
      <c r="G52" s="32">
        <v>120417</v>
      </c>
      <c r="H52" s="33">
        <v>124228</v>
      </c>
      <c r="I52" s="33">
        <v>128983</v>
      </c>
      <c r="J52" s="100">
        <f>'EQUITY SCHEDULE'!J42</f>
        <v>133738</v>
      </c>
      <c r="K52" s="100">
        <f>'EQUITY SCHEDULE'!K42</f>
        <v>138493</v>
      </c>
      <c r="L52" s="100">
        <f>'EQUITY SCHEDULE'!L42</f>
        <v>143248</v>
      </c>
    </row>
    <row r="53" spans="2:12" s="1" customFormat="1">
      <c r="B53"/>
      <c r="C53" s="29" t="s">
        <v>5</v>
      </c>
      <c r="D53" s="30">
        <v>210957</v>
      </c>
      <c r="E53" s="31">
        <v>260672</v>
      </c>
      <c r="F53" s="31">
        <v>301511</v>
      </c>
      <c r="G53" s="32">
        <v>388718</v>
      </c>
      <c r="H53" s="33">
        <v>359435</v>
      </c>
      <c r="I53" s="33">
        <v>381161</v>
      </c>
      <c r="J53" s="253">
        <f>'EQUITY SCHEDULE'!J53</f>
        <v>393107.94999999966</v>
      </c>
      <c r="K53" s="253">
        <f>'EQUITY SCHEDULE'!K53</f>
        <v>415527.47849999915</v>
      </c>
      <c r="L53" s="253">
        <f>'EQUITY SCHEDULE'!L53</f>
        <v>439772.76285499858</v>
      </c>
    </row>
    <row r="54" spans="2:12" s="1" customFormat="1">
      <c r="B54"/>
      <c r="C54" s="29" t="s">
        <v>78</v>
      </c>
      <c r="D54" s="40" t="s">
        <v>79</v>
      </c>
      <c r="E54" s="31">
        <v>-82407</v>
      </c>
      <c r="F54" s="31">
        <v>-92897</v>
      </c>
      <c r="G54" s="32">
        <v>-94202</v>
      </c>
      <c r="H54" s="33">
        <v>-77265</v>
      </c>
      <c r="I54" s="33">
        <v>-115002</v>
      </c>
      <c r="J54" s="100">
        <f>'EQUITY SCHEDULE'!J65</f>
        <v>-115002</v>
      </c>
      <c r="K54" s="100">
        <f>'EQUITY SCHEDULE'!K65</f>
        <v>-115002</v>
      </c>
      <c r="L54" s="100">
        <f>'EQUITY SCHEDULE'!L65</f>
        <v>-115002</v>
      </c>
    </row>
    <row r="55" spans="2:12" s="1" customFormat="1" ht="24">
      <c r="B55"/>
      <c r="C55" s="29" t="s">
        <v>80</v>
      </c>
      <c r="D55" s="30">
        <v>60845</v>
      </c>
      <c r="E55" s="31">
        <v>-60845</v>
      </c>
      <c r="F55" s="31">
        <v>-60845</v>
      </c>
      <c r="G55" s="32">
        <v>-60845</v>
      </c>
      <c r="H55" s="33">
        <v>-60845</v>
      </c>
      <c r="I55" s="33">
        <v>-60845</v>
      </c>
      <c r="J55" s="100">
        <f>'EQUITY SCHEDULE'!J77</f>
        <v>-60845</v>
      </c>
      <c r="K55" s="100">
        <f>'EQUITY SCHEDULE'!K77</f>
        <v>-60845</v>
      </c>
      <c r="L55" s="100">
        <f>'EQUITY SCHEDULE'!L77</f>
        <v>-60845</v>
      </c>
    </row>
    <row r="56" spans="2:12" s="1" customFormat="1" ht="24">
      <c r="B56"/>
      <c r="C56" s="29" t="s">
        <v>81</v>
      </c>
      <c r="D56" s="40">
        <v>409</v>
      </c>
      <c r="E56" s="83">
        <v>-409</v>
      </c>
      <c r="F56" s="83">
        <v>-409</v>
      </c>
      <c r="G56" s="32">
        <v>-409</v>
      </c>
      <c r="H56" s="48">
        <v>-409</v>
      </c>
      <c r="I56" s="48">
        <v>-409</v>
      </c>
      <c r="J56" s="100">
        <f>'EQUITY SCHEDULE'!J89</f>
        <v>-409</v>
      </c>
      <c r="K56" s="100">
        <f>'EQUITY SCHEDULE'!K89</f>
        <v>-409</v>
      </c>
      <c r="L56" s="100">
        <f>'EQUITY SCHEDULE'!L89</f>
        <v>-409</v>
      </c>
    </row>
    <row r="57" spans="2:12" s="1" customFormat="1">
      <c r="B57"/>
      <c r="C57" s="85" t="s">
        <v>82</v>
      </c>
      <c r="D57" s="86">
        <v>183609</v>
      </c>
      <c r="E57" s="87">
        <v>243056</v>
      </c>
      <c r="F57" s="87">
        <v>277131</v>
      </c>
      <c r="G57" s="75">
        <v>366702</v>
      </c>
      <c r="H57" s="88">
        <v>358187</v>
      </c>
      <c r="I57" s="88">
        <v>346952</v>
      </c>
      <c r="J57" s="65">
        <f>SUM(J49:J56)</f>
        <v>363674.94999999972</v>
      </c>
      <c r="K57" s="65">
        <f t="shared" ref="K57:L57" si="27">SUM(K49:K56)</f>
        <v>390870.47849999915</v>
      </c>
      <c r="L57" s="65">
        <f t="shared" si="27"/>
        <v>419891.76285499858</v>
      </c>
    </row>
    <row r="58" spans="2:12" s="1" customFormat="1">
      <c r="B58"/>
      <c r="C58" s="90" t="s">
        <v>83</v>
      </c>
      <c r="D58" s="91">
        <v>73334</v>
      </c>
      <c r="E58" s="68">
        <v>79376</v>
      </c>
      <c r="F58" s="68">
        <v>85893</v>
      </c>
      <c r="G58" s="89">
        <v>92205</v>
      </c>
      <c r="H58" s="49">
        <v>96979</v>
      </c>
      <c r="I58" s="49">
        <v>104164</v>
      </c>
      <c r="J58" s="321">
        <f>'EQUITY SCHEDULE'!J113</f>
        <v>111564.55</v>
      </c>
      <c r="K58" s="321">
        <f>'EQUITY SCHEDULE'!K113</f>
        <v>119187.1165</v>
      </c>
      <c r="L58" s="321">
        <f>'EQUITY SCHEDULE'!L113</f>
        <v>127038.35999500001</v>
      </c>
    </row>
    <row r="59" spans="2:12" s="1" customFormat="1" ht="15.75" thickBot="1">
      <c r="B59"/>
      <c r="C59" s="93" t="s">
        <v>84</v>
      </c>
      <c r="D59" s="94">
        <v>256943</v>
      </c>
      <c r="E59" s="95">
        <v>322432</v>
      </c>
      <c r="F59" s="95">
        <v>363024</v>
      </c>
      <c r="G59" s="96">
        <v>458907</v>
      </c>
      <c r="H59" s="97">
        <v>455166</v>
      </c>
      <c r="I59" s="103">
        <f>I57+I58</f>
        <v>451116</v>
      </c>
      <c r="J59" s="103">
        <f>J57+J58</f>
        <v>475239.49999999971</v>
      </c>
      <c r="K59" s="103">
        <f t="shared" ref="K59:L59" si="28">K57+K58</f>
        <v>510057.59499999916</v>
      </c>
      <c r="L59" s="103">
        <f t="shared" si="28"/>
        <v>546930.12284999853</v>
      </c>
    </row>
    <row r="60" spans="2:12" s="1" customFormat="1">
      <c r="B60"/>
      <c r="C60" s="76"/>
      <c r="D60" s="91"/>
      <c r="E60" s="78"/>
      <c r="F60" s="78"/>
      <c r="G60" s="89"/>
      <c r="H60" s="80"/>
      <c r="I60" s="80"/>
      <c r="J60" s="64"/>
      <c r="K60" s="64"/>
      <c r="L60" s="64"/>
    </row>
    <row r="61" spans="2:12" s="1" customFormat="1" ht="15.75" thickBot="1">
      <c r="B61"/>
      <c r="C61" s="84" t="s">
        <v>85</v>
      </c>
      <c r="D61" s="70">
        <v>1433076</v>
      </c>
      <c r="E61" s="71">
        <v>1846565</v>
      </c>
      <c r="F61" s="71">
        <v>2449484</v>
      </c>
      <c r="G61" s="72">
        <v>3072960</v>
      </c>
      <c r="H61" s="73">
        <v>3009928</v>
      </c>
      <c r="I61" s="73">
        <v>3126926</v>
      </c>
      <c r="J61" s="66">
        <f>J42+J59</f>
        <v>3152038.4449659861</v>
      </c>
      <c r="K61" s="66">
        <f t="shared" ref="K61:L61" si="29">K42+K59</f>
        <v>3016731.4033829924</v>
      </c>
      <c r="L61" s="66">
        <f t="shared" si="29"/>
        <v>3102396.9155014884</v>
      </c>
    </row>
    <row r="62" spans="2:12" s="1" customFormat="1" ht="15.75" thickTop="1">
      <c r="B62"/>
      <c r="C62"/>
      <c r="D62"/>
      <c r="E62"/>
      <c r="F62"/>
      <c r="G62"/>
      <c r="H62"/>
      <c r="I62"/>
      <c r="J62" s="100"/>
      <c r="K62" s="100"/>
      <c r="L62" s="100"/>
    </row>
    <row r="63" spans="2:12" s="1" customFormat="1" ht="15.75" thickBot="1">
      <c r="B63"/>
      <c r="C63"/>
      <c r="D63"/>
      <c r="E63"/>
      <c r="F63"/>
      <c r="G63"/>
      <c r="H63"/>
      <c r="I63"/>
      <c r="J63" s="100"/>
      <c r="K63" s="100"/>
      <c r="L63" s="100"/>
    </row>
    <row r="64" spans="2:12" s="1" customFormat="1" ht="15.75" thickBot="1">
      <c r="B64"/>
      <c r="C64" s="98" t="s">
        <v>139</v>
      </c>
      <c r="D64" s="99">
        <f>D24-D61</f>
        <v>0</v>
      </c>
      <c r="E64" s="99">
        <f t="shared" ref="E64:L64" si="30">E24-E61</f>
        <v>0</v>
      </c>
      <c r="F64" s="99">
        <f t="shared" si="30"/>
        <v>0</v>
      </c>
      <c r="G64" s="99">
        <f t="shared" si="30"/>
        <v>0</v>
      </c>
      <c r="H64" s="99">
        <f t="shared" si="30"/>
        <v>0</v>
      </c>
      <c r="I64" s="104">
        <f t="shared" si="30"/>
        <v>0</v>
      </c>
      <c r="J64" s="104">
        <f t="shared" si="30"/>
        <v>0</v>
      </c>
      <c r="K64" s="104">
        <f t="shared" si="30"/>
        <v>0</v>
      </c>
      <c r="L64" s="104">
        <f t="shared" si="30"/>
        <v>0</v>
      </c>
    </row>
    <row r="65" spans="2:12" s="1" customFormat="1">
      <c r="B65"/>
      <c r="C65"/>
      <c r="D65"/>
      <c r="E65"/>
      <c r="F65"/>
      <c r="G65"/>
      <c r="H65"/>
      <c r="I65"/>
      <c r="J65" s="100"/>
      <c r="K65" s="100"/>
      <c r="L65" s="100"/>
    </row>
    <row r="66" spans="2:12" s="1" customFormat="1">
      <c r="B66"/>
      <c r="C66"/>
      <c r="D66"/>
      <c r="E66"/>
      <c r="F66"/>
      <c r="G66"/>
      <c r="H66"/>
      <c r="I66"/>
      <c r="J66" s="100"/>
      <c r="K66" s="100"/>
      <c r="L66" s="100"/>
    </row>
    <row r="67" spans="2:12" s="1" customFormat="1">
      <c r="B67"/>
      <c r="C67"/>
      <c r="D67"/>
      <c r="E67"/>
      <c r="F67"/>
      <c r="G67"/>
      <c r="H67"/>
      <c r="I67"/>
      <c r="J67" s="100"/>
      <c r="K67" s="100"/>
      <c r="L67" s="100"/>
    </row>
    <row r="68" spans="2:12" s="1" customFormat="1">
      <c r="B68"/>
      <c r="C68"/>
      <c r="D68"/>
      <c r="E68"/>
      <c r="F68"/>
      <c r="G68"/>
      <c r="H68"/>
      <c r="I68"/>
      <c r="J68" s="100"/>
      <c r="K68" s="100"/>
      <c r="L68" s="100"/>
    </row>
    <row r="69" spans="2:12" s="1" customFormat="1">
      <c r="B69"/>
      <c r="C69"/>
      <c r="D69"/>
      <c r="E69"/>
      <c r="F69"/>
      <c r="G69"/>
      <c r="H69"/>
      <c r="I69"/>
      <c r="J69" s="100"/>
      <c r="K69" s="100"/>
      <c r="L69" s="100"/>
    </row>
    <row r="70" spans="2:12" s="1" customFormat="1">
      <c r="B70"/>
      <c r="C70"/>
      <c r="D70"/>
      <c r="E70"/>
      <c r="F70"/>
      <c r="G70"/>
      <c r="H70"/>
      <c r="I70"/>
      <c r="J70" s="100"/>
      <c r="K70" s="100"/>
      <c r="L70" s="100"/>
    </row>
    <row r="71" spans="2:12" s="1" customFormat="1">
      <c r="B71"/>
      <c r="C71"/>
      <c r="D71"/>
      <c r="E71"/>
      <c r="F71"/>
      <c r="G71"/>
      <c r="H71"/>
      <c r="I71"/>
      <c r="J71" s="100"/>
      <c r="K71" s="100"/>
      <c r="L71" s="100"/>
    </row>
    <row r="72" spans="2:12" s="1" customFormat="1">
      <c r="B72"/>
      <c r="C72"/>
      <c r="D72"/>
      <c r="E72"/>
      <c r="F72"/>
      <c r="G72"/>
      <c r="H72"/>
      <c r="I72"/>
      <c r="J72" s="100"/>
      <c r="K72" s="100"/>
      <c r="L72" s="100"/>
    </row>
    <row r="73" spans="2:12" s="1" customFormat="1">
      <c r="B73"/>
      <c r="C73"/>
      <c r="D73"/>
      <c r="E73"/>
      <c r="F73"/>
      <c r="G73"/>
      <c r="H73"/>
      <c r="I73"/>
      <c r="J73" s="100"/>
      <c r="K73" s="100"/>
      <c r="L73" s="100"/>
    </row>
    <row r="74" spans="2:12" s="1" customFormat="1">
      <c r="B74"/>
      <c r="C74"/>
      <c r="D74"/>
      <c r="E74"/>
      <c r="F74"/>
      <c r="G74"/>
      <c r="H74"/>
      <c r="I74"/>
      <c r="J74" s="100"/>
      <c r="K74" s="100"/>
      <c r="L74" s="100"/>
    </row>
    <row r="75" spans="2:12" s="1" customFormat="1">
      <c r="B75"/>
      <c r="C75"/>
      <c r="D75"/>
      <c r="E75"/>
      <c r="F75"/>
      <c r="G75"/>
      <c r="H75"/>
      <c r="I75"/>
      <c r="J75" s="100"/>
      <c r="K75" s="100"/>
      <c r="L75" s="100"/>
    </row>
    <row r="76" spans="2:12" s="1" customFormat="1">
      <c r="B76"/>
      <c r="C76"/>
      <c r="D76"/>
      <c r="E76"/>
      <c r="F76"/>
      <c r="G76"/>
      <c r="H76"/>
      <c r="I76"/>
      <c r="J76" s="100"/>
      <c r="K76" s="100"/>
      <c r="L76" s="100"/>
    </row>
    <row r="77" spans="2:12" s="1" customFormat="1">
      <c r="B77"/>
      <c r="C77"/>
      <c r="D77"/>
      <c r="E77"/>
      <c r="F77"/>
      <c r="G77"/>
      <c r="H77"/>
      <c r="I77"/>
      <c r="J77" s="100"/>
      <c r="K77" s="100"/>
      <c r="L77" s="100"/>
    </row>
    <row r="78" spans="2:12" s="1" customFormat="1">
      <c r="B78"/>
      <c r="C78"/>
      <c r="D78"/>
      <c r="E78"/>
      <c r="F78"/>
      <c r="G78"/>
      <c r="H78"/>
      <c r="I78"/>
      <c r="J78" s="100"/>
      <c r="K78" s="100"/>
      <c r="L78" s="100"/>
    </row>
    <row r="79" spans="2:12" s="1" customFormat="1">
      <c r="B79"/>
      <c r="C79"/>
      <c r="D79"/>
      <c r="E79"/>
      <c r="F79"/>
      <c r="G79"/>
      <c r="H79"/>
      <c r="I79"/>
      <c r="J79" s="100"/>
      <c r="K79" s="100"/>
      <c r="L79" s="100"/>
    </row>
    <row r="80" spans="2:12" s="1" customFormat="1">
      <c r="B80"/>
      <c r="C80"/>
      <c r="D80"/>
      <c r="E80"/>
      <c r="F80"/>
      <c r="G80"/>
      <c r="H80"/>
      <c r="I80"/>
      <c r="J80" s="100"/>
      <c r="K80" s="100"/>
      <c r="L80" s="100"/>
    </row>
    <row r="81" spans="2:12" s="1" customFormat="1">
      <c r="B81"/>
      <c r="C81"/>
      <c r="D81"/>
      <c r="E81"/>
      <c r="F81"/>
      <c r="G81"/>
      <c r="H81"/>
      <c r="I81"/>
      <c r="J81" s="6"/>
      <c r="K81" s="6"/>
      <c r="L81" s="6"/>
    </row>
    <row r="82" spans="2:12" s="1" customFormat="1">
      <c r="B82"/>
      <c r="C82"/>
      <c r="D82"/>
      <c r="E82"/>
      <c r="F82"/>
      <c r="G82"/>
      <c r="H82"/>
      <c r="I82"/>
      <c r="J82" s="6"/>
      <c r="K82" s="6"/>
      <c r="L82" s="6"/>
    </row>
    <row r="83" spans="2:12" s="1" customFormat="1">
      <c r="B83"/>
      <c r="C83"/>
      <c r="D83"/>
      <c r="E83"/>
      <c r="F83"/>
      <c r="G83"/>
      <c r="H83"/>
      <c r="I83"/>
      <c r="J83" s="6"/>
      <c r="K83" s="6"/>
      <c r="L83" s="6"/>
    </row>
    <row r="84" spans="2:12" s="1" customFormat="1">
      <c r="B84"/>
      <c r="C84"/>
      <c r="D84"/>
      <c r="E84"/>
      <c r="F84"/>
      <c r="G84"/>
      <c r="H84"/>
      <c r="I84"/>
      <c r="J84" s="6"/>
      <c r="K84" s="6"/>
      <c r="L84" s="6"/>
    </row>
    <row r="85" spans="2:12" s="1" customFormat="1">
      <c r="B85"/>
      <c r="C85"/>
      <c r="D85"/>
      <c r="E85"/>
      <c r="F85"/>
      <c r="G85"/>
      <c r="H85"/>
      <c r="I85"/>
      <c r="J85" s="6"/>
      <c r="K85" s="6"/>
      <c r="L85" s="6"/>
    </row>
    <row r="86" spans="2:12" s="1" customFormat="1">
      <c r="B86"/>
      <c r="C86"/>
      <c r="D86"/>
      <c r="E86"/>
      <c r="F86"/>
      <c r="G86"/>
      <c r="H86"/>
      <c r="I86"/>
      <c r="J86" s="6"/>
      <c r="K86" s="6"/>
      <c r="L86" s="6"/>
    </row>
    <row r="87" spans="2:12" s="1" customFormat="1">
      <c r="B87"/>
      <c r="C87"/>
      <c r="D87"/>
      <c r="E87"/>
      <c r="F87"/>
      <c r="G87"/>
      <c r="H87"/>
      <c r="I87"/>
      <c r="J87" s="6"/>
      <c r="K87" s="6"/>
      <c r="L87" s="6"/>
    </row>
    <row r="88" spans="2:12" s="1" customFormat="1">
      <c r="B88"/>
      <c r="C88"/>
      <c r="D88"/>
      <c r="E88"/>
      <c r="F88"/>
      <c r="G88"/>
      <c r="H88"/>
      <c r="I88"/>
      <c r="J88" s="6"/>
      <c r="K88" s="6"/>
      <c r="L88" s="6"/>
    </row>
    <row r="89" spans="2:12" s="1" customFormat="1">
      <c r="B89"/>
      <c r="C89"/>
      <c r="D89"/>
      <c r="E89"/>
      <c r="F89"/>
      <c r="G89"/>
      <c r="H89"/>
      <c r="I89"/>
      <c r="J89" s="6"/>
      <c r="K89" s="6"/>
      <c r="L89" s="6"/>
    </row>
    <row r="90" spans="2:12" s="1" customFormat="1">
      <c r="B90"/>
      <c r="C90"/>
      <c r="D90"/>
      <c r="E90"/>
      <c r="F90"/>
      <c r="G90"/>
      <c r="H90"/>
      <c r="I90"/>
      <c r="J90" s="6"/>
      <c r="K90" s="6"/>
      <c r="L90" s="6"/>
    </row>
    <row r="91" spans="2:12" s="1" customFormat="1">
      <c r="B91"/>
      <c r="C91"/>
      <c r="D91"/>
      <c r="E91"/>
      <c r="F91"/>
      <c r="G91"/>
      <c r="H91"/>
      <c r="I91"/>
      <c r="J91" s="6"/>
      <c r="K91" s="6"/>
      <c r="L91" s="6"/>
    </row>
    <row r="92" spans="2:12" s="1" customFormat="1">
      <c r="B92"/>
      <c r="C92"/>
      <c r="D92"/>
      <c r="E92"/>
      <c r="F92"/>
      <c r="G92"/>
      <c r="H92"/>
      <c r="I92"/>
      <c r="J92" s="6"/>
      <c r="K92" s="6"/>
      <c r="L92" s="6"/>
    </row>
    <row r="93" spans="2:12" s="1" customFormat="1">
      <c r="B93"/>
      <c r="C93"/>
      <c r="D93"/>
      <c r="E93"/>
      <c r="F93"/>
      <c r="G93"/>
      <c r="H93"/>
      <c r="I93"/>
      <c r="J93" s="6"/>
      <c r="K93" s="6"/>
      <c r="L93" s="6"/>
    </row>
    <row r="94" spans="2:12" s="1" customFormat="1">
      <c r="B94"/>
      <c r="C94"/>
      <c r="D94"/>
      <c r="E94"/>
      <c r="F94"/>
      <c r="G94"/>
      <c r="H94"/>
      <c r="I94"/>
      <c r="J94" s="6"/>
      <c r="K94" s="6"/>
      <c r="L94" s="6"/>
    </row>
    <row r="95" spans="2:12" s="1" customFormat="1">
      <c r="B95"/>
      <c r="C95"/>
      <c r="D95"/>
      <c r="E95"/>
      <c r="F95"/>
      <c r="G95"/>
      <c r="H95"/>
      <c r="I95"/>
      <c r="J95" s="6"/>
      <c r="K95" s="6"/>
      <c r="L95" s="6"/>
    </row>
    <row r="96" spans="2:12" s="1" customFormat="1">
      <c r="B96"/>
      <c r="C96"/>
      <c r="D96"/>
      <c r="E96"/>
      <c r="F96"/>
      <c r="G96"/>
      <c r="H96"/>
      <c r="I96"/>
      <c r="J96" s="6"/>
      <c r="K96" s="6"/>
      <c r="L96" s="6"/>
    </row>
    <row r="97" spans="2:12" s="1" customFormat="1">
      <c r="B97"/>
      <c r="C97"/>
      <c r="D97"/>
      <c r="E97"/>
      <c r="F97"/>
      <c r="G97"/>
      <c r="H97"/>
      <c r="I97"/>
      <c r="J97" s="6"/>
      <c r="K97" s="6"/>
      <c r="L97" s="6"/>
    </row>
    <row r="98" spans="2:12" s="1" customFormat="1">
      <c r="B98"/>
      <c r="C98"/>
      <c r="D98"/>
      <c r="E98"/>
      <c r="F98"/>
      <c r="G98"/>
      <c r="H98"/>
      <c r="I98"/>
      <c r="J98" s="6"/>
      <c r="K98" s="6"/>
      <c r="L98" s="6"/>
    </row>
    <row r="99" spans="2:12" s="1" customFormat="1">
      <c r="B99"/>
      <c r="C99"/>
      <c r="D99"/>
      <c r="E99"/>
      <c r="F99"/>
      <c r="G99"/>
      <c r="H99"/>
      <c r="I99"/>
      <c r="J99" s="6"/>
      <c r="K99" s="6"/>
      <c r="L99" s="6"/>
    </row>
    <row r="100" spans="2:12" s="1" customFormat="1">
      <c r="B100"/>
      <c r="C100"/>
      <c r="D100"/>
      <c r="E100"/>
      <c r="F100"/>
      <c r="G100"/>
      <c r="H100"/>
      <c r="I100"/>
      <c r="J100" s="6"/>
      <c r="K100" s="6"/>
      <c r="L100" s="6"/>
    </row>
    <row r="101" spans="2:12" s="1" customFormat="1">
      <c r="B101"/>
      <c r="C101"/>
      <c r="D101"/>
      <c r="E101"/>
      <c r="F101"/>
      <c r="G101"/>
      <c r="H101"/>
      <c r="I101"/>
      <c r="J101" s="6"/>
      <c r="K101" s="6"/>
      <c r="L101" s="6"/>
    </row>
    <row r="102" spans="2:12" s="1" customFormat="1"/>
  </sheetData>
  <mergeCells count="1">
    <mergeCell ref="G3:I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12"/>
  <sheetViews>
    <sheetView showGridLines="0" topLeftCell="A42" zoomScale="110" zoomScaleNormal="110" workbookViewId="0">
      <selection activeCell="J49" sqref="J49:L49"/>
    </sheetView>
  </sheetViews>
  <sheetFormatPr defaultColWidth="0" defaultRowHeight="15" zeroHeight="1"/>
  <cols>
    <col min="1" max="1" width="3.7109375" style="1" customWidth="1"/>
    <col min="2" max="2" width="9.140625" customWidth="1"/>
    <col min="3" max="3" width="40.7109375" customWidth="1"/>
    <col min="4" max="9" width="9.140625" customWidth="1"/>
    <col min="10" max="10" width="13" customWidth="1"/>
    <col min="11" max="12" width="9.140625" customWidth="1"/>
    <col min="13" max="13" width="3.7109375" style="1" customWidth="1"/>
    <col min="14" max="16384" width="9.140625" hidden="1"/>
  </cols>
  <sheetData>
    <row r="1" spans="2:12" s="1" customFormat="1"/>
    <row r="2" spans="2:12" ht="23.25">
      <c r="B2" s="258" t="str">
        <f>Company_name</f>
        <v>Coca-Cola Bottling Co. Consolidated (COKE)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t="15.75" thickBot="1">
      <c r="B3" s="2"/>
      <c r="C3" s="2"/>
      <c r="D3" s="2"/>
      <c r="E3" s="2"/>
      <c r="F3" s="2"/>
      <c r="G3" s="257" t="s">
        <v>3</v>
      </c>
      <c r="H3" s="257"/>
      <c r="I3" s="257"/>
      <c r="J3" s="2"/>
      <c r="K3" s="2" t="s">
        <v>17</v>
      </c>
      <c r="L3" s="2"/>
    </row>
    <row r="4" spans="2:12">
      <c r="B4" s="2" t="str">
        <f>Currency</f>
        <v>(in thousands, except per share data)</v>
      </c>
      <c r="C4" s="2"/>
      <c r="D4" s="10">
        <f>EDATE(E4,-12)</f>
        <v>41974</v>
      </c>
      <c r="E4" s="10">
        <f>EDATE(F4,-12)</f>
        <v>42339</v>
      </c>
      <c r="F4" s="10">
        <f>EDATE(G4,-12)</f>
        <v>42705</v>
      </c>
      <c r="G4" s="5">
        <f>EDATE(H4,-12)</f>
        <v>43070</v>
      </c>
      <c r="H4" s="5">
        <f>EDATE(I4,-12)</f>
        <v>43435</v>
      </c>
      <c r="I4" s="5">
        <f>LHY</f>
        <v>43800</v>
      </c>
      <c r="J4" s="5">
        <f>EDATE(I4,12)</f>
        <v>44166</v>
      </c>
      <c r="K4" s="5">
        <f t="shared" ref="K4:L4" si="0">EDATE(J4,12)</f>
        <v>44531</v>
      </c>
      <c r="L4" s="5">
        <f t="shared" si="0"/>
        <v>44896</v>
      </c>
    </row>
    <row r="5" spans="2:12">
      <c r="J5" s="6"/>
      <c r="K5" s="6"/>
      <c r="L5" s="6"/>
    </row>
    <row r="6" spans="2:12">
      <c r="C6" s="44" t="s">
        <v>86</v>
      </c>
      <c r="D6" s="45"/>
      <c r="E6" s="45"/>
      <c r="F6" s="45"/>
      <c r="G6" s="39"/>
      <c r="H6" s="39"/>
      <c r="I6" s="39"/>
      <c r="J6" s="6"/>
      <c r="K6" s="6"/>
      <c r="L6" s="6"/>
    </row>
    <row r="7" spans="2:12">
      <c r="C7" s="29" t="s">
        <v>87</v>
      </c>
      <c r="D7" s="31">
        <v>36082</v>
      </c>
      <c r="E7" s="31">
        <v>65044</v>
      </c>
      <c r="F7" s="31">
        <v>56663</v>
      </c>
      <c r="G7" s="33">
        <v>102847</v>
      </c>
      <c r="H7" s="33">
        <v>-15156</v>
      </c>
      <c r="I7" s="33">
        <v>18560</v>
      </c>
      <c r="J7" s="100">
        <f>'Income Statement'!J18</f>
        <v>28716.499999999647</v>
      </c>
      <c r="K7" s="100">
        <f>'Income Statement'!K18</f>
        <v>39411.094999999506</v>
      </c>
      <c r="L7" s="100">
        <f>'Income Statement'!L18</f>
        <v>41465.527849999402</v>
      </c>
    </row>
    <row r="8" spans="2:12" ht="24">
      <c r="C8" s="29" t="s">
        <v>88</v>
      </c>
      <c r="D8" s="26"/>
      <c r="E8" s="26"/>
      <c r="F8" s="26"/>
      <c r="G8" s="27"/>
      <c r="H8" s="27"/>
      <c r="I8" s="27"/>
      <c r="J8" s="6"/>
      <c r="K8" s="6"/>
      <c r="L8" s="6"/>
    </row>
    <row r="9" spans="2:12" ht="24">
      <c r="C9" s="46" t="s">
        <v>89</v>
      </c>
      <c r="D9" s="31">
        <v>60397</v>
      </c>
      <c r="E9" s="31">
        <v>78096</v>
      </c>
      <c r="F9" s="31">
        <v>111613</v>
      </c>
      <c r="G9" s="33">
        <v>150422</v>
      </c>
      <c r="H9" s="33">
        <v>164502</v>
      </c>
      <c r="I9" s="33">
        <v>156886</v>
      </c>
      <c r="J9" s="253">
        <f>'FixedAssetModule(FAM)'!I82</f>
        <v>102947.57689249689</v>
      </c>
      <c r="K9" s="253">
        <f>'FixedAssetModule(FAM)'!J82</f>
        <v>104113.03786248853</v>
      </c>
      <c r="L9" s="253">
        <f>'FixedAssetModule(FAM)'!K82</f>
        <v>105491.88202025066</v>
      </c>
    </row>
    <row r="10" spans="2:12" ht="24">
      <c r="C10" s="46" t="s">
        <v>90</v>
      </c>
      <c r="D10" s="26">
        <v>733</v>
      </c>
      <c r="E10" s="31">
        <v>2800</v>
      </c>
      <c r="F10" s="31">
        <v>5010</v>
      </c>
      <c r="G10" s="33">
        <v>18419</v>
      </c>
      <c r="H10" s="33">
        <v>22754</v>
      </c>
      <c r="I10" s="33">
        <v>23030</v>
      </c>
      <c r="J10" s="6"/>
      <c r="K10" s="6"/>
      <c r="L10" s="6"/>
    </row>
    <row r="11" spans="2:12" ht="24">
      <c r="C11" s="46" t="s">
        <v>91</v>
      </c>
      <c r="D11" s="31">
        <v>1077</v>
      </c>
      <c r="E11" s="31">
        <v>3576</v>
      </c>
      <c r="F11" s="31">
        <v>-1910</v>
      </c>
      <c r="G11" s="33">
        <v>3226</v>
      </c>
      <c r="H11" s="33">
        <v>28767</v>
      </c>
      <c r="I11" s="33">
        <v>92788</v>
      </c>
      <c r="J11" s="6"/>
      <c r="K11" s="6"/>
      <c r="L11" s="6"/>
    </row>
    <row r="12" spans="2:12">
      <c r="C12" s="46" t="s">
        <v>92</v>
      </c>
      <c r="D12" s="26" t="s">
        <v>27</v>
      </c>
      <c r="E12" s="26">
        <v>148</v>
      </c>
      <c r="F12" s="26">
        <v>382</v>
      </c>
      <c r="G12" s="27" t="s">
        <v>27</v>
      </c>
      <c r="H12" s="27">
        <v>453</v>
      </c>
      <c r="I12" s="33">
        <v>8798</v>
      </c>
      <c r="J12" s="6"/>
      <c r="K12" s="6"/>
      <c r="L12" s="6"/>
    </row>
    <row r="13" spans="2:12">
      <c r="C13" s="46" t="s">
        <v>93</v>
      </c>
      <c r="D13" s="26">
        <v>677</v>
      </c>
      <c r="E13" s="31">
        <v>1268</v>
      </c>
      <c r="F13" s="31">
        <v>2892</v>
      </c>
      <c r="G13" s="33">
        <v>4492</v>
      </c>
      <c r="H13" s="33">
        <v>7103</v>
      </c>
      <c r="I13" s="33">
        <v>6498</v>
      </c>
      <c r="J13" s="6"/>
      <c r="K13" s="6"/>
      <c r="L13" s="6"/>
    </row>
    <row r="14" spans="2:12">
      <c r="C14" s="46" t="s">
        <v>64</v>
      </c>
      <c r="D14" s="31">
        <v>4220</v>
      </c>
      <c r="E14" s="31">
        <v>10408</v>
      </c>
      <c r="F14" s="31">
        <v>42942</v>
      </c>
      <c r="G14" s="33">
        <v>-58111</v>
      </c>
      <c r="H14" s="33">
        <v>9366</v>
      </c>
      <c r="I14" s="33">
        <v>3987</v>
      </c>
      <c r="J14" s="100">
        <f>'Balance Sheet'!J36-'Balance Sheet'!I36</f>
        <v>3753.9000000000087</v>
      </c>
      <c r="K14" s="100">
        <f>'Balance Sheet'!K36-'Balance Sheet'!J36</f>
        <v>3866.5170000000071</v>
      </c>
      <c r="L14" s="100">
        <f>'Balance Sheet'!L36-'Balance Sheet'!K36</f>
        <v>3982.5125100000005</v>
      </c>
    </row>
    <row r="15" spans="2:12">
      <c r="C15" s="46" t="s">
        <v>94</v>
      </c>
      <c r="D15" s="31">
        <v>3542</v>
      </c>
      <c r="E15" s="31">
        <v>7300</v>
      </c>
      <c r="F15" s="31">
        <v>7154</v>
      </c>
      <c r="G15" s="33">
        <v>7922</v>
      </c>
      <c r="H15" s="33">
        <v>5606</v>
      </c>
      <c r="I15" s="33">
        <v>2045</v>
      </c>
      <c r="J15" s="6"/>
      <c r="K15" s="6"/>
      <c r="L15" s="6"/>
    </row>
    <row r="16" spans="2:12">
      <c r="C16" s="46" t="s">
        <v>95</v>
      </c>
      <c r="D16" s="31">
        <v>1938</v>
      </c>
      <c r="E16" s="31">
        <v>2011</v>
      </c>
      <c r="F16" s="31">
        <v>1855</v>
      </c>
      <c r="G16" s="33">
        <v>1082</v>
      </c>
      <c r="H16" s="33">
        <v>1477</v>
      </c>
      <c r="I16" s="33">
        <v>1313</v>
      </c>
      <c r="J16" s="6"/>
      <c r="K16" s="6"/>
      <c r="L16" s="6"/>
    </row>
    <row r="17" spans="3:12">
      <c r="C17" s="46" t="s">
        <v>96</v>
      </c>
      <c r="D17" s="26" t="s">
        <v>27</v>
      </c>
      <c r="E17" s="31">
        <v>-8807</v>
      </c>
      <c r="F17" s="26">
        <v>692</v>
      </c>
      <c r="G17" s="33">
        <v>-12893</v>
      </c>
      <c r="H17" s="33">
        <v>-10170</v>
      </c>
      <c r="I17" s="27" t="s">
        <v>27</v>
      </c>
      <c r="J17" s="6"/>
      <c r="K17" s="6"/>
      <c r="L17" s="6"/>
    </row>
    <row r="18" spans="3:12">
      <c r="C18" s="46" t="s">
        <v>97</v>
      </c>
      <c r="G18" s="33">
        <v>30647</v>
      </c>
      <c r="H18" s="33">
        <v>1320</v>
      </c>
      <c r="I18" s="27" t="s">
        <v>27</v>
      </c>
      <c r="J18" s="100">
        <f>'Balance Sheet'!J29-'Balance Sheet'!I29+'Balance Sheet'!J32-'Balance Sheet'!I32+'Balance Sheet'!J33-'Balance Sheet'!I33+'Balance Sheet'!J34-'Balance Sheet'!I34</f>
        <v>9329.8800000000156</v>
      </c>
      <c r="K18" s="100">
        <f>'Balance Sheet'!K29-'Balance Sheet'!J29+'Balance Sheet'!K32-'Balance Sheet'!J32+'Balance Sheet'!K33-'Balance Sheet'!J33+'Balance Sheet'!K34-'Balance Sheet'!J34</f>
        <v>9609.7764000000061</v>
      </c>
      <c r="L18" s="100">
        <f>'Balance Sheet'!L29-'Balance Sheet'!K29+'Balance Sheet'!L32-'Balance Sheet'!K32+'Balance Sheet'!L33-'Balance Sheet'!K33+'Balance Sheet'!L34-'Balance Sheet'!K34</f>
        <v>9898.0696920000228</v>
      </c>
    </row>
    <row r="19" spans="3:12">
      <c r="C19" s="47" t="s">
        <v>28</v>
      </c>
      <c r="D19" s="26" t="s">
        <v>27</v>
      </c>
      <c r="E19" s="31">
        <v>-22651</v>
      </c>
      <c r="F19" s="26" t="s">
        <v>27</v>
      </c>
      <c r="G19" s="33"/>
      <c r="H19" s="33"/>
      <c r="I19" s="27"/>
      <c r="J19" s="6"/>
      <c r="K19" s="6"/>
      <c r="L19" s="6"/>
    </row>
    <row r="20" spans="3:12">
      <c r="C20" s="47" t="s">
        <v>98</v>
      </c>
      <c r="D20" s="26" t="s">
        <v>27</v>
      </c>
      <c r="E20" s="31">
        <v>-2011</v>
      </c>
      <c r="F20" s="26" t="s">
        <v>27</v>
      </c>
      <c r="G20" s="33"/>
      <c r="H20" s="33"/>
      <c r="I20" s="27"/>
      <c r="J20" s="6"/>
      <c r="K20" s="6"/>
      <c r="L20" s="6"/>
    </row>
    <row r="21" spans="3:12">
      <c r="C21" s="46" t="s">
        <v>99</v>
      </c>
      <c r="G21" s="33">
        <v>91450</v>
      </c>
      <c r="H21" s="27" t="s">
        <v>27</v>
      </c>
      <c r="I21" s="27" t="s">
        <v>27</v>
      </c>
      <c r="J21" s="6"/>
      <c r="K21" s="6"/>
      <c r="L21" s="6"/>
    </row>
    <row r="22" spans="3:12">
      <c r="C22" s="46" t="s">
        <v>100</v>
      </c>
      <c r="G22" s="33">
        <v>-6996</v>
      </c>
      <c r="H22" s="27" t="s">
        <v>27</v>
      </c>
      <c r="I22" s="27" t="s">
        <v>27</v>
      </c>
      <c r="J22" s="6"/>
      <c r="K22" s="6"/>
      <c r="L22" s="6"/>
    </row>
    <row r="23" spans="3:12" ht="24">
      <c r="C23" s="46" t="s">
        <v>101</v>
      </c>
      <c r="G23" s="33">
        <v>-6012</v>
      </c>
      <c r="H23" s="27" t="s">
        <v>27</v>
      </c>
      <c r="I23" s="27" t="s">
        <v>27</v>
      </c>
      <c r="J23" s="6"/>
      <c r="K23" s="6"/>
      <c r="L23" s="6"/>
    </row>
    <row r="24" spans="3:12" ht="24">
      <c r="C24" s="46" t="s">
        <v>102</v>
      </c>
      <c r="D24" s="31">
        <v>-16331</v>
      </c>
      <c r="E24" s="31">
        <v>-18262</v>
      </c>
      <c r="F24" s="31">
        <v>-39909</v>
      </c>
      <c r="G24" s="27">
        <v>259</v>
      </c>
      <c r="H24" s="33">
        <v>-26387</v>
      </c>
      <c r="I24" s="33">
        <v>-31681</v>
      </c>
      <c r="J24" s="100">
        <f>SUM('Balance Sheet'!I9:I14)-SUM('Balance Sheet'!J9:J14)</f>
        <v>-24619.859999999986</v>
      </c>
      <c r="K24" s="100">
        <f>SUM('Balance Sheet'!J9:J14)-SUM('Balance Sheet'!K9:K14)</f>
        <v>-25358.455799999996</v>
      </c>
      <c r="L24" s="100">
        <f>SUM('Balance Sheet'!K9:K14)-SUM('Balance Sheet'!L9:L14)</f>
        <v>-26119.209474000032</v>
      </c>
    </row>
    <row r="25" spans="3:12" ht="24">
      <c r="C25" s="46" t="s">
        <v>103</v>
      </c>
      <c r="D25" s="31">
        <v>-3195</v>
      </c>
      <c r="E25" s="31">
        <v>-4292</v>
      </c>
      <c r="F25" s="31">
        <v>-14564</v>
      </c>
      <c r="G25" s="33">
        <v>-17916</v>
      </c>
      <c r="H25" s="33">
        <v>4347</v>
      </c>
      <c r="I25" s="33">
        <v>15201</v>
      </c>
      <c r="J25" s="6"/>
      <c r="K25" s="6"/>
      <c r="L25" s="6"/>
    </row>
    <row r="26" spans="3:12" ht="24">
      <c r="C26" s="46" t="s">
        <v>104</v>
      </c>
      <c r="D26" s="31">
        <v>3333</v>
      </c>
      <c r="E26" s="31">
        <v>-6214</v>
      </c>
      <c r="F26" s="31">
        <v>-10850</v>
      </c>
      <c r="G26" s="33">
        <v>-1100</v>
      </c>
      <c r="H26" s="33">
        <v>-25122</v>
      </c>
      <c r="I26" s="33">
        <v>-7203</v>
      </c>
      <c r="J26" s="100">
        <f>'Balance Sheet'!J38-'Balance Sheet'!I38</f>
        <v>20056.979999999981</v>
      </c>
      <c r="K26" s="100">
        <f>'Balance Sheet'!K38-'Balance Sheet'!J38</f>
        <v>20658.689400000032</v>
      </c>
      <c r="L26" s="100">
        <f>'Balance Sheet'!L38-'Balance Sheet'!K38</f>
        <v>21278.450081999996</v>
      </c>
    </row>
    <row r="27" spans="3:12">
      <c r="C27" s="46" t="s">
        <v>14</v>
      </c>
      <c r="D27" s="41">
        <v>-570</v>
      </c>
      <c r="E27" s="41">
        <v>-124</v>
      </c>
      <c r="F27" s="41">
        <v>25</v>
      </c>
      <c r="G27" s="42">
        <v>78</v>
      </c>
      <c r="H27" s="42">
        <v>19</v>
      </c>
      <c r="I27" s="42">
        <v>148</v>
      </c>
      <c r="J27" s="57">
        <f>'Balance Sheet'!I20-'Balance Sheet'!J20+'Balance Sheet'!I21-'Balance Sheet'!J21</f>
        <v>-8375.1600000000035</v>
      </c>
      <c r="K27" s="57">
        <f>'Balance Sheet'!J20-'Balance Sheet'!K20+'Balance Sheet'!J21-'Balance Sheet'!K21</f>
        <v>-8626.4148000000278</v>
      </c>
      <c r="L27" s="57">
        <f>'Balance Sheet'!K20-'Balance Sheet'!L20+'Balance Sheet'!K21-'Balance Sheet'!L21</f>
        <v>-8885.2072440000193</v>
      </c>
    </row>
    <row r="28" spans="3:12">
      <c r="C28" s="29" t="s">
        <v>105</v>
      </c>
      <c r="D28" s="43">
        <v>55821</v>
      </c>
      <c r="E28" s="43">
        <v>43246</v>
      </c>
      <c r="F28" s="43">
        <v>105332</v>
      </c>
      <c r="G28" s="67">
        <v>204969</v>
      </c>
      <c r="H28" s="67">
        <v>184035</v>
      </c>
      <c r="I28" s="67">
        <v>271810</v>
      </c>
      <c r="J28" s="92">
        <f>SUM(J9:J27)</f>
        <v>103093.31689249691</v>
      </c>
      <c r="K28" s="92">
        <f t="shared" ref="K28:L28" si="1">SUM(K9:K27)</f>
        <v>104263.15006248855</v>
      </c>
      <c r="L28" s="92">
        <f t="shared" si="1"/>
        <v>105646.49758625063</v>
      </c>
    </row>
    <row r="29" spans="3:12" ht="15.75" thickBot="1">
      <c r="C29" s="84" t="s">
        <v>106</v>
      </c>
      <c r="D29" s="71">
        <v>91903</v>
      </c>
      <c r="E29" s="71">
        <v>108290</v>
      </c>
      <c r="F29" s="71">
        <v>161995</v>
      </c>
      <c r="G29" s="73">
        <v>307816</v>
      </c>
      <c r="H29" s="73">
        <v>168879</v>
      </c>
      <c r="I29" s="73">
        <v>290370</v>
      </c>
      <c r="J29" s="62">
        <f>SUM(J7,J28)</f>
        <v>131809.81689249654</v>
      </c>
      <c r="K29" s="62">
        <f t="shared" ref="K29:L29" si="2">SUM(K7,K28)</f>
        <v>143674.24506248807</v>
      </c>
      <c r="L29" s="62">
        <f t="shared" si="2"/>
        <v>147112.02543625003</v>
      </c>
    </row>
    <row r="30" spans="3:12" ht="15.75" thickTop="1">
      <c r="C30" s="29"/>
      <c r="G30" s="48"/>
      <c r="H30" s="48"/>
      <c r="I30" s="48"/>
      <c r="J30" s="6"/>
      <c r="K30" s="6"/>
      <c r="L30" s="6"/>
    </row>
    <row r="31" spans="3:12">
      <c r="C31" s="28" t="s">
        <v>107</v>
      </c>
      <c r="G31" s="27"/>
      <c r="H31" s="27"/>
      <c r="I31" s="27"/>
      <c r="J31" s="6"/>
      <c r="K31" s="6"/>
      <c r="L31" s="6"/>
    </row>
    <row r="32" spans="3:12" ht="24">
      <c r="C32" s="29" t="s">
        <v>108</v>
      </c>
      <c r="D32" s="31">
        <v>-84364</v>
      </c>
      <c r="E32" s="31">
        <v>-163887</v>
      </c>
      <c r="F32" s="31">
        <v>-172586</v>
      </c>
      <c r="G32" s="33">
        <v>-176601</v>
      </c>
      <c r="H32" s="33">
        <v>-138235</v>
      </c>
      <c r="I32" s="33">
        <v>-171374</v>
      </c>
      <c r="J32" s="253">
        <f>-'FixedAssetModule(FAM)'!I74</f>
        <v>-112144.33999999998</v>
      </c>
      <c r="K32" s="253">
        <f>-'FixedAssetModule(FAM)'!J74</f>
        <v>-115508.67020000001</v>
      </c>
      <c r="L32" s="253">
        <f>-'FixedAssetModule(FAM)'!K74</f>
        <v>-118973.93030600001</v>
      </c>
    </row>
    <row r="33" spans="3:12">
      <c r="C33" s="29" t="s">
        <v>109</v>
      </c>
      <c r="G33" s="27" t="s">
        <v>27</v>
      </c>
      <c r="H33" s="27" t="s">
        <v>27</v>
      </c>
      <c r="I33" s="33">
        <v>-4654</v>
      </c>
      <c r="J33" s="6"/>
      <c r="K33" s="6"/>
      <c r="L33" s="6"/>
    </row>
    <row r="34" spans="3:12" ht="24">
      <c r="C34" s="29" t="s">
        <v>110</v>
      </c>
      <c r="D34" s="31">
        <v>1701</v>
      </c>
      <c r="E34" s="31">
        <v>1891</v>
      </c>
      <c r="F34" s="31">
        <v>1072</v>
      </c>
      <c r="G34" s="27">
        <v>608</v>
      </c>
      <c r="H34" s="33">
        <v>5259</v>
      </c>
      <c r="I34" s="33">
        <v>4064</v>
      </c>
      <c r="J34" s="6"/>
      <c r="K34" s="6"/>
      <c r="L34" s="6"/>
    </row>
    <row r="35" spans="3:12">
      <c r="C35" s="29" t="s">
        <v>111</v>
      </c>
      <c r="D35" s="26" t="s">
        <v>27</v>
      </c>
      <c r="E35" s="26" t="s">
        <v>27</v>
      </c>
      <c r="F35" s="31">
        <v>-7875</v>
      </c>
      <c r="G35" s="33">
        <v>-3615</v>
      </c>
      <c r="H35" s="33">
        <v>-2098</v>
      </c>
      <c r="I35" s="33">
        <v>-1713</v>
      </c>
      <c r="J35" s="57">
        <f>'Balance Sheet'!I23-'Balance Sheet'!J23</f>
        <v>-439.29000000000087</v>
      </c>
      <c r="K35" s="57">
        <f>'Balance Sheet'!J23-'Balance Sheet'!K23</f>
        <v>-452.46870000000126</v>
      </c>
      <c r="L35" s="57">
        <f>'Balance Sheet'!K23-'Balance Sheet'!L23</f>
        <v>-466.04276100000061</v>
      </c>
    </row>
    <row r="36" spans="3:12">
      <c r="C36" s="29" t="s">
        <v>112</v>
      </c>
      <c r="G36" s="33">
        <v>-19393</v>
      </c>
      <c r="H36" s="33">
        <v>-13116</v>
      </c>
      <c r="I36" s="27" t="s">
        <v>27</v>
      </c>
      <c r="J36" s="6"/>
      <c r="K36" s="6"/>
      <c r="L36" s="6"/>
    </row>
    <row r="37" spans="3:12">
      <c r="C37" s="29" t="s">
        <v>113</v>
      </c>
      <c r="G37" s="33">
        <v>8400</v>
      </c>
      <c r="H37" s="33">
        <v>3789</v>
      </c>
      <c r="I37" s="27" t="s">
        <v>27</v>
      </c>
      <c r="J37" s="100">
        <f>'Balance Sheet'!J30-'Balance Sheet'!I30+'Balance Sheet'!J31-'Balance Sheet'!I31</f>
        <v>8885.25</v>
      </c>
      <c r="K37" s="100">
        <f>'Balance Sheet'!K30-'Balance Sheet'!J30+'Balance Sheet'!K31-'Balance Sheet'!J31</f>
        <v>9151.8074999999953</v>
      </c>
      <c r="L37" s="100">
        <f>'Balance Sheet'!L30-'Balance Sheet'!K30+'Balance Sheet'!L31-'Balance Sheet'!K31</f>
        <v>9426.3617249999952</v>
      </c>
    </row>
    <row r="38" spans="3:12" ht="36">
      <c r="C38" s="29" t="s">
        <v>114</v>
      </c>
      <c r="D38" s="31">
        <v>-41588</v>
      </c>
      <c r="E38" s="31">
        <v>-81707</v>
      </c>
      <c r="F38" s="31">
        <v>-272637</v>
      </c>
      <c r="G38" s="33">
        <v>-265060</v>
      </c>
      <c r="H38" s="27">
        <v>456</v>
      </c>
      <c r="I38" s="27" t="s">
        <v>27</v>
      </c>
      <c r="J38" s="6"/>
      <c r="K38" s="6"/>
      <c r="L38" s="6"/>
    </row>
    <row r="39" spans="3:12">
      <c r="C39" s="29" t="s">
        <v>115</v>
      </c>
      <c r="G39" s="33">
        <v>-15598</v>
      </c>
      <c r="H39" s="27" t="s">
        <v>27</v>
      </c>
      <c r="I39" s="27" t="s">
        <v>27</v>
      </c>
      <c r="J39" s="57">
        <f>'Balance Sheet'!I22-'Balance Sheet'!J22</f>
        <v>-26282.880000000005</v>
      </c>
      <c r="K39" s="57">
        <f>'Balance Sheet'!J22-'Balance Sheet'!K22</f>
        <v>-27071.366400000057</v>
      </c>
      <c r="L39" s="57">
        <f>'Balance Sheet'!K22-'Balance Sheet'!L22</f>
        <v>-27883.507392000058</v>
      </c>
    </row>
    <row r="40" spans="3:12" ht="24">
      <c r="C40" s="29" t="s">
        <v>116</v>
      </c>
      <c r="G40" s="49">
        <v>12364</v>
      </c>
      <c r="H40" s="48" t="s">
        <v>27</v>
      </c>
      <c r="I40" s="48" t="s">
        <v>27</v>
      </c>
      <c r="J40" s="6"/>
      <c r="K40" s="6"/>
      <c r="L40" s="6"/>
    </row>
    <row r="41" spans="3:12" ht="15.75" thickBot="1">
      <c r="C41" s="84" t="s">
        <v>117</v>
      </c>
      <c r="D41" s="105"/>
      <c r="E41" s="105"/>
      <c r="F41" s="105"/>
      <c r="G41" s="73">
        <v>-458895</v>
      </c>
      <c r="H41" s="73">
        <v>-143945</v>
      </c>
      <c r="I41" s="73">
        <v>-173677</v>
      </c>
      <c r="J41" s="62">
        <f>SUM(J32:J40)</f>
        <v>-129981.25999999998</v>
      </c>
      <c r="K41" s="62">
        <f t="shared" ref="K41:L41" si="3">SUM(K32:K40)</f>
        <v>-133880.69780000008</v>
      </c>
      <c r="L41" s="62">
        <f t="shared" si="3"/>
        <v>-137897.11873400008</v>
      </c>
    </row>
    <row r="42" spans="3:12" ht="15.75" thickTop="1">
      <c r="C42" s="29"/>
      <c r="G42" s="48"/>
      <c r="H42" s="48"/>
      <c r="I42" s="48"/>
      <c r="J42" s="6"/>
      <c r="K42" s="6"/>
      <c r="L42" s="6"/>
    </row>
    <row r="43" spans="3:12">
      <c r="C43" s="28" t="s">
        <v>118</v>
      </c>
      <c r="G43" s="27"/>
      <c r="H43" s="27"/>
      <c r="I43" s="27"/>
      <c r="J43" s="6"/>
      <c r="K43" s="6"/>
      <c r="L43" s="6"/>
    </row>
    <row r="44" spans="3:12">
      <c r="C44" s="29" t="s">
        <v>119</v>
      </c>
      <c r="D44" s="31">
        <v>-125624</v>
      </c>
      <c r="E44" s="31">
        <v>-405000</v>
      </c>
      <c r="F44" s="31">
        <v>-258000</v>
      </c>
      <c r="G44" s="33">
        <v>-393000</v>
      </c>
      <c r="H44" s="33">
        <v>-483000</v>
      </c>
      <c r="I44" s="33">
        <v>-550339</v>
      </c>
      <c r="J44" s="256">
        <f>'DebtRepaymentS.(DRS)'!I66</f>
        <v>-45004.085034013602</v>
      </c>
      <c r="K44" s="256">
        <f>'DebtRepaymentS.(DRS)'!J66</f>
        <v>-217497.9574829932</v>
      </c>
      <c r="L44" s="256">
        <f>'DebtRepaymentS.(DRS)'!K66</f>
        <v>-1.021258503401441</v>
      </c>
    </row>
    <row r="45" spans="3:12">
      <c r="C45" s="29" t="s">
        <v>120</v>
      </c>
      <c r="D45" s="31">
        <v>191624</v>
      </c>
      <c r="E45" s="31">
        <v>334000</v>
      </c>
      <c r="F45" s="31">
        <v>410000</v>
      </c>
      <c r="G45" s="33">
        <v>448000</v>
      </c>
      <c r="H45" s="33">
        <v>356000</v>
      </c>
      <c r="I45" s="33">
        <v>515339</v>
      </c>
      <c r="J45" s="6"/>
      <c r="K45" s="6"/>
      <c r="L45" s="6"/>
    </row>
    <row r="46" spans="3:12">
      <c r="C46" s="29" t="s">
        <v>121</v>
      </c>
      <c r="D46" s="26" t="s">
        <v>27</v>
      </c>
      <c r="E46" s="31">
        <v>-100000</v>
      </c>
      <c r="F46" s="31">
        <v>-164757</v>
      </c>
      <c r="G46" s="27" t="s">
        <v>27</v>
      </c>
      <c r="H46" s="33">
        <v>-7500</v>
      </c>
      <c r="I46" s="33">
        <v>-140000</v>
      </c>
      <c r="J46" s="6"/>
      <c r="K46" s="6"/>
      <c r="L46" s="6"/>
    </row>
    <row r="47" spans="3:12">
      <c r="C47" s="29" t="s">
        <v>122</v>
      </c>
      <c r="G47" s="33">
        <v>125000</v>
      </c>
      <c r="H47" s="33">
        <v>150000</v>
      </c>
      <c r="I47" s="33">
        <v>100000</v>
      </c>
      <c r="J47" s="6"/>
      <c r="K47" s="6"/>
      <c r="L47" s="6"/>
    </row>
    <row r="48" spans="3:12">
      <c r="C48" s="29" t="s">
        <v>123</v>
      </c>
      <c r="D48" s="26">
        <v>-212</v>
      </c>
      <c r="E48" s="31">
        <v>-4039</v>
      </c>
      <c r="F48" s="31">
        <v>-13550</v>
      </c>
      <c r="G48" s="33">
        <v>-16738</v>
      </c>
      <c r="H48" s="33">
        <v>-24683</v>
      </c>
      <c r="I48" s="33">
        <v>-27182</v>
      </c>
      <c r="J48" s="6"/>
      <c r="K48" s="6"/>
      <c r="L48" s="6"/>
    </row>
    <row r="49" spans="2:12">
      <c r="C49" s="29" t="s">
        <v>124</v>
      </c>
      <c r="D49" s="31">
        <v>-9266</v>
      </c>
      <c r="E49" s="31">
        <v>-9287</v>
      </c>
      <c r="F49" s="31">
        <v>-9307</v>
      </c>
      <c r="G49" s="33">
        <v>-9328</v>
      </c>
      <c r="H49" s="33">
        <v>-9353</v>
      </c>
      <c r="I49" s="33">
        <v>-9369</v>
      </c>
      <c r="J49" s="6">
        <f>SUM('EQUITY SCHEDULE'!J10:J16)+SUM('EQUITY SCHEDULE'!J22:J29)+SUM('EQUITY SCHEDULE'!J35:J41)+SUM('EQUITY SCHEDULE'!J47:J52)+SUM('EQUITY SCHEDULE'!J58:J64)+SUM('EQUITY SCHEDULE'!J70:J76)+SUM('EQUITY SCHEDULE'!J82:J88)+SUM('EQUITY SCHEDULE'!J107:J112)</f>
        <v>-4593</v>
      </c>
      <c r="K49" s="6">
        <f>SUM('EQUITY SCHEDULE'!K10:K16)+SUM('EQUITY SCHEDULE'!K22:K29)+SUM('EQUITY SCHEDULE'!K35:K41)+SUM('EQUITY SCHEDULE'!K47:K52)+SUM('EQUITY SCHEDULE'!K58:K64)+SUM('EQUITY SCHEDULE'!K70:K76)+SUM('EQUITY SCHEDULE'!K82:K88)+SUM('EQUITY SCHEDULE'!K107:K112)</f>
        <v>-4593</v>
      </c>
      <c r="L49" s="6">
        <f>SUM('EQUITY SCHEDULE'!L10:L16)+SUM('EQUITY SCHEDULE'!L22:L29)+SUM('EQUITY SCHEDULE'!L35:L41)+SUM('EQUITY SCHEDULE'!L47:L52)+SUM('EQUITY SCHEDULE'!L58:L64)+SUM('EQUITY SCHEDULE'!L70:L76)+SUM('EQUITY SCHEDULE'!L82:L88)+SUM('EQUITY SCHEDULE'!L107:L112)</f>
        <v>-4593</v>
      </c>
    </row>
    <row r="50" spans="2:12">
      <c r="C50" s="29" t="s">
        <v>125</v>
      </c>
      <c r="D50" s="31">
        <v>-5939</v>
      </c>
      <c r="E50" s="31">
        <v>-6555</v>
      </c>
      <c r="F50" s="31">
        <v>-7063</v>
      </c>
      <c r="G50" s="33">
        <v>-7485</v>
      </c>
      <c r="H50" s="33">
        <v>-8221</v>
      </c>
      <c r="I50" s="33">
        <v>-8656</v>
      </c>
      <c r="J50" s="100">
        <f>'Balance Sheet'!I19-'Balance Sheet'!J19+'Balance Sheet'!J37-'Balance Sheet'!I37+'Balance Sheet'!J40-'Balance Sheet'!I40</f>
        <v>3428.2200000000048</v>
      </c>
      <c r="K50" s="100">
        <f>'Balance Sheet'!J19-'Balance Sheet'!K19+'Balance Sheet'!K37-'Balance Sheet'!J37+'Balance Sheet'!K40-'Balance Sheet'!J40</f>
        <v>3531.0665999999947</v>
      </c>
      <c r="L50" s="100">
        <f>'Balance Sheet'!K19-'Balance Sheet'!L19+'Balance Sheet'!L37-'Balance Sheet'!K37+'Balance Sheet'!L40-'Balance Sheet'!K40</f>
        <v>3636.9985980000092</v>
      </c>
    </row>
    <row r="51" spans="2:12">
      <c r="C51" s="36" t="s">
        <v>126</v>
      </c>
      <c r="D51" s="26" t="s">
        <v>27</v>
      </c>
      <c r="E51" s="31">
        <v>349913</v>
      </c>
      <c r="F51" s="26" t="s">
        <v>27</v>
      </c>
      <c r="G51" s="33"/>
      <c r="H51" s="33"/>
      <c r="I51" s="33"/>
      <c r="J51" s="6"/>
      <c r="K51" s="6"/>
      <c r="L51" s="6"/>
    </row>
    <row r="52" spans="2:12">
      <c r="C52" s="36" t="s">
        <v>127</v>
      </c>
      <c r="D52" s="26" t="s">
        <v>27</v>
      </c>
      <c r="E52" s="26" t="s">
        <v>27</v>
      </c>
      <c r="F52" s="31">
        <v>300000</v>
      </c>
      <c r="G52" s="33"/>
      <c r="H52" s="33"/>
      <c r="I52" s="33"/>
      <c r="J52" s="100"/>
      <c r="K52" s="100"/>
      <c r="L52" s="100"/>
    </row>
    <row r="53" spans="2:12">
      <c r="C53" s="36" t="s">
        <v>128</v>
      </c>
      <c r="D53" s="31">
        <v>-20000</v>
      </c>
      <c r="E53" s="26" t="s">
        <v>27</v>
      </c>
      <c r="F53" s="26" t="s">
        <v>27</v>
      </c>
      <c r="G53" s="33"/>
      <c r="H53" s="33"/>
      <c r="I53" s="33"/>
      <c r="J53" s="6"/>
      <c r="K53" s="6"/>
      <c r="L53" s="6"/>
    </row>
    <row r="54" spans="2:12" ht="25.5">
      <c r="C54" s="36" t="s">
        <v>129</v>
      </c>
      <c r="D54" s="26">
        <v>176</v>
      </c>
      <c r="E54" s="31"/>
      <c r="F54" s="31"/>
      <c r="G54" s="33"/>
      <c r="H54" s="33"/>
      <c r="I54" s="33"/>
      <c r="J54" s="6"/>
      <c r="K54" s="6"/>
      <c r="L54" s="6"/>
    </row>
    <row r="55" spans="2:12">
      <c r="C55" s="29" t="s">
        <v>130</v>
      </c>
      <c r="G55" s="48">
        <v>-318</v>
      </c>
      <c r="H55" s="49">
        <v>-1531</v>
      </c>
      <c r="I55" s="48">
        <v>-420</v>
      </c>
      <c r="J55" s="6"/>
      <c r="K55" s="6"/>
      <c r="L55" s="6"/>
    </row>
    <row r="56" spans="2:12">
      <c r="C56" s="36" t="s">
        <v>14</v>
      </c>
      <c r="D56" s="68">
        <v>-1077</v>
      </c>
      <c r="E56" s="68">
        <v>-3576</v>
      </c>
      <c r="F56" s="83">
        <v>-940</v>
      </c>
      <c r="G56" s="48"/>
      <c r="H56" s="49"/>
      <c r="I56" s="48"/>
      <c r="J56" s="6"/>
      <c r="K56" s="6"/>
      <c r="L56" s="6"/>
    </row>
    <row r="57" spans="2:12" ht="15.75" thickBot="1">
      <c r="C57" s="84" t="s">
        <v>131</v>
      </c>
      <c r="D57" s="71">
        <v>29682</v>
      </c>
      <c r="E57" s="71">
        <v>155456</v>
      </c>
      <c r="F57" s="71">
        <v>256383</v>
      </c>
      <c r="G57" s="73">
        <v>146131</v>
      </c>
      <c r="H57" s="73">
        <v>-28288</v>
      </c>
      <c r="I57" s="73">
        <v>-120627</v>
      </c>
      <c r="J57" s="62">
        <f>SUM(J44:J56)</f>
        <v>-46168.865034013594</v>
      </c>
      <c r="K57" s="62">
        <f t="shared" ref="K57:L57" si="4">SUM(K44:K56)</f>
        <v>-218559.8908829932</v>
      </c>
      <c r="L57" s="62">
        <f t="shared" si="4"/>
        <v>-957.02266050339222</v>
      </c>
    </row>
    <row r="58" spans="2:12" ht="15.75" thickTop="1">
      <c r="C58" s="29"/>
      <c r="G58" s="48"/>
      <c r="H58" s="48"/>
      <c r="I58" s="48"/>
      <c r="J58" s="6"/>
      <c r="K58" s="6"/>
      <c r="L58" s="6"/>
    </row>
    <row r="59" spans="2:12">
      <c r="C59" s="29" t="s">
        <v>132</v>
      </c>
      <c r="D59" s="31">
        <v>-2666</v>
      </c>
      <c r="E59" s="31">
        <v>46403</v>
      </c>
      <c r="F59" s="31">
        <v>-33648</v>
      </c>
      <c r="G59" s="33">
        <v>-4948</v>
      </c>
      <c r="H59" s="33">
        <v>-3354</v>
      </c>
      <c r="I59" s="33">
        <v>-3934</v>
      </c>
      <c r="J59" s="57">
        <f>J29+J41+J57</f>
        <v>-44340.308141517031</v>
      </c>
      <c r="K59" s="57">
        <f t="shared" ref="K59:L59" si="5">K29+K41+K57</f>
        <v>-208766.34362050521</v>
      </c>
      <c r="L59" s="57">
        <f t="shared" si="5"/>
        <v>8257.8840417465581</v>
      </c>
    </row>
    <row r="60" spans="2:12" ht="15.75" thickBot="1">
      <c r="C60" s="29" t="s">
        <v>133</v>
      </c>
      <c r="D60" s="68">
        <v>11761</v>
      </c>
      <c r="E60" s="68">
        <v>9095</v>
      </c>
      <c r="F60" s="68">
        <v>55498</v>
      </c>
      <c r="G60" s="49">
        <v>21850</v>
      </c>
      <c r="H60" s="49">
        <v>16902</v>
      </c>
      <c r="I60" s="49">
        <v>13548</v>
      </c>
      <c r="J60" s="57">
        <f>I61</f>
        <v>9614</v>
      </c>
      <c r="K60" s="57">
        <f t="shared" ref="K60:L60" si="6">J61</f>
        <v>-34726.308141517031</v>
      </c>
      <c r="L60" s="57">
        <f t="shared" si="6"/>
        <v>-243492.65176202223</v>
      </c>
    </row>
    <row r="61" spans="2:12" s="1" customFormat="1" ht="15.75" thickBot="1">
      <c r="B61"/>
      <c r="C61" s="106" t="s">
        <v>134</v>
      </c>
      <c r="D61" s="81">
        <v>9095</v>
      </c>
      <c r="E61" s="81">
        <v>55498</v>
      </c>
      <c r="F61" s="81">
        <v>21850</v>
      </c>
      <c r="G61" s="82">
        <v>16902</v>
      </c>
      <c r="H61" s="82">
        <v>13548</v>
      </c>
      <c r="I61" s="82">
        <v>9614</v>
      </c>
      <c r="J61" s="7">
        <f>SUM(J59:J60)</f>
        <v>-34726.308141517031</v>
      </c>
      <c r="K61" s="7">
        <f t="shared" ref="K61:L61" si="7">SUM(K59:K60)</f>
        <v>-243492.65176202223</v>
      </c>
      <c r="L61" s="7">
        <f t="shared" si="7"/>
        <v>-235234.76772027567</v>
      </c>
    </row>
    <row r="62" spans="2:12" s="1" customFormat="1">
      <c r="B62"/>
      <c r="C62" s="28"/>
      <c r="D62" s="78"/>
      <c r="E62" s="78"/>
      <c r="F62" s="78"/>
      <c r="G62" s="80"/>
      <c r="H62" s="80"/>
      <c r="I62" s="80"/>
      <c r="J62" s="6"/>
      <c r="K62" s="6"/>
      <c r="L62" s="6"/>
    </row>
    <row r="63" spans="2:12" s="1" customFormat="1">
      <c r="B63"/>
      <c r="C63" s="28"/>
      <c r="D63" s="78"/>
      <c r="E63" s="78"/>
      <c r="F63" s="78"/>
      <c r="G63" s="80"/>
      <c r="H63" s="80"/>
      <c r="I63" s="80"/>
      <c r="J63" s="6"/>
      <c r="K63" s="6"/>
      <c r="L63" s="6"/>
    </row>
    <row r="64" spans="2:12" s="1" customFormat="1">
      <c r="B64"/>
      <c r="C64" s="28"/>
      <c r="D64" s="78"/>
      <c r="E64" s="78"/>
      <c r="F64" s="78"/>
      <c r="G64" s="80"/>
      <c r="H64" s="80"/>
      <c r="I64" s="80"/>
      <c r="J64" s="6"/>
      <c r="K64" s="6"/>
      <c r="L64" s="6"/>
    </row>
    <row r="65" spans="2:12" s="1" customFormat="1">
      <c r="B65"/>
      <c r="C65" s="28"/>
      <c r="D65" s="78"/>
      <c r="E65" s="78"/>
      <c r="F65" s="78"/>
      <c r="G65" s="80"/>
      <c r="H65" s="80"/>
      <c r="I65" s="80"/>
      <c r="J65" s="6"/>
      <c r="K65" s="6"/>
      <c r="L65" s="6"/>
    </row>
    <row r="66" spans="2:12" s="1" customFormat="1">
      <c r="B66"/>
      <c r="C66" s="28"/>
      <c r="D66" s="78"/>
      <c r="E66" s="78"/>
      <c r="F66" s="78"/>
      <c r="G66" s="80"/>
      <c r="H66" s="80"/>
      <c r="I66" s="80"/>
      <c r="J66" s="6"/>
      <c r="K66" s="6"/>
      <c r="L66" s="6"/>
    </row>
    <row r="67" spans="2:12" s="1" customFormat="1">
      <c r="B67"/>
      <c r="C67" s="28"/>
      <c r="D67" s="78"/>
      <c r="E67" s="78"/>
      <c r="F67" s="78"/>
      <c r="G67" s="80"/>
      <c r="H67" s="80"/>
      <c r="I67" s="80"/>
      <c r="J67" s="6"/>
      <c r="K67" s="6"/>
      <c r="L67" s="6"/>
    </row>
    <row r="68" spans="2:12" s="1" customFormat="1">
      <c r="B68"/>
      <c r="C68" s="28"/>
      <c r="D68" s="78"/>
      <c r="E68" s="78"/>
      <c r="F68" s="78"/>
      <c r="G68" s="80"/>
      <c r="H68" s="80"/>
      <c r="I68" s="80"/>
      <c r="J68" s="6"/>
      <c r="K68" s="6"/>
      <c r="L68" s="6"/>
    </row>
    <row r="69" spans="2:12" s="1" customFormat="1">
      <c r="B69"/>
      <c r="C69" s="28"/>
      <c r="D69" s="78"/>
      <c r="E69" s="78"/>
      <c r="F69" s="78"/>
      <c r="G69" s="80"/>
      <c r="H69" s="80"/>
      <c r="I69" s="80"/>
      <c r="J69" s="6"/>
      <c r="K69" s="6"/>
      <c r="L69" s="6"/>
    </row>
    <row r="70" spans="2:12" s="1" customFormat="1">
      <c r="B70"/>
      <c r="C70" s="28"/>
      <c r="D70" s="78"/>
      <c r="E70" s="78"/>
      <c r="F70" s="78"/>
      <c r="G70" s="80"/>
      <c r="H70" s="80"/>
      <c r="I70" s="80"/>
      <c r="J70" s="6"/>
      <c r="K70" s="6"/>
      <c r="L70" s="6"/>
    </row>
    <row r="71" spans="2:12" s="1" customFormat="1">
      <c r="B71"/>
      <c r="C71" s="28"/>
      <c r="D71" s="78"/>
      <c r="E71" s="78"/>
      <c r="F71" s="78"/>
      <c r="G71" s="80"/>
      <c r="H71" s="80"/>
      <c r="I71" s="80"/>
      <c r="J71" s="6"/>
      <c r="K71" s="6"/>
      <c r="L71" s="6"/>
    </row>
    <row r="72" spans="2:12" s="1" customFormat="1">
      <c r="B72"/>
      <c r="C72" s="28"/>
      <c r="D72" s="78"/>
      <c r="E72" s="78"/>
      <c r="F72" s="78"/>
      <c r="G72" s="80"/>
      <c r="H72" s="80"/>
      <c r="I72" s="80"/>
      <c r="J72" s="6"/>
      <c r="K72" s="6"/>
      <c r="L72" s="6"/>
    </row>
    <row r="73" spans="2:12" s="1" customFormat="1">
      <c r="B73"/>
      <c r="C73" s="28"/>
      <c r="D73" s="78"/>
      <c r="E73" s="78"/>
      <c r="F73" s="78"/>
      <c r="G73" s="80"/>
      <c r="H73" s="80"/>
      <c r="I73" s="80"/>
      <c r="J73" s="6"/>
      <c r="K73" s="6"/>
      <c r="L73" s="6"/>
    </row>
    <row r="74" spans="2:12" s="1" customFormat="1" ht="25.5">
      <c r="B74"/>
      <c r="C74" s="50" t="s">
        <v>135</v>
      </c>
      <c r="D74"/>
      <c r="E74"/>
      <c r="F74"/>
      <c r="G74" s="51"/>
      <c r="H74" s="51"/>
      <c r="I74" s="51"/>
      <c r="J74" s="6"/>
      <c r="K74" s="6"/>
      <c r="L74" s="6"/>
    </row>
    <row r="75" spans="2:12" s="1" customFormat="1" ht="25.5">
      <c r="B75"/>
      <c r="C75" s="36" t="s">
        <v>136</v>
      </c>
      <c r="D75" s="31">
        <v>1763</v>
      </c>
      <c r="E75" s="31">
        <v>2225</v>
      </c>
      <c r="F75" s="31">
        <v>3726</v>
      </c>
      <c r="G75"/>
      <c r="H75"/>
      <c r="I75"/>
      <c r="J75" s="6"/>
      <c r="K75" s="6"/>
      <c r="L75" s="6"/>
    </row>
    <row r="76" spans="2:12" s="1" customFormat="1">
      <c r="B76"/>
      <c r="C76" s="36" t="s">
        <v>137</v>
      </c>
      <c r="D76" s="26" t="s">
        <v>27</v>
      </c>
      <c r="E76" s="31">
        <v>3361</v>
      </c>
      <c r="F76" s="26" t="s">
        <v>27</v>
      </c>
      <c r="G76"/>
      <c r="H76"/>
      <c r="I76"/>
      <c r="J76" s="6"/>
      <c r="K76" s="6"/>
      <c r="L76" s="6"/>
    </row>
    <row r="77" spans="2:12" s="1" customFormat="1" ht="25.5">
      <c r="B77"/>
      <c r="C77" s="36" t="s">
        <v>138</v>
      </c>
      <c r="D77" s="31">
        <v>9185</v>
      </c>
      <c r="E77" s="31">
        <v>14006</v>
      </c>
      <c r="F77" s="31">
        <v>15704</v>
      </c>
      <c r="G77"/>
      <c r="H77"/>
      <c r="I77"/>
      <c r="J77" s="6"/>
      <c r="K77" s="6"/>
      <c r="L77" s="6"/>
    </row>
    <row r="78" spans="2:12" s="1" customFormat="1">
      <c r="B78"/>
      <c r="C78"/>
      <c r="D78"/>
      <c r="E78"/>
      <c r="F78"/>
      <c r="G78"/>
      <c r="H78"/>
      <c r="I78"/>
      <c r="J78" s="6"/>
      <c r="K78" s="6"/>
      <c r="L78" s="6"/>
    </row>
    <row r="79" spans="2:12" s="1" customFormat="1">
      <c r="B79"/>
      <c r="C79"/>
      <c r="D79"/>
      <c r="E79"/>
      <c r="F79"/>
      <c r="G79"/>
      <c r="H79"/>
      <c r="I79"/>
      <c r="J79" s="6"/>
      <c r="K79" s="6"/>
      <c r="L79" s="6"/>
    </row>
    <row r="80" spans="2:12" s="1" customFormat="1">
      <c r="B80"/>
      <c r="C80"/>
      <c r="D80"/>
      <c r="E80"/>
      <c r="F80"/>
      <c r="G80"/>
      <c r="H80"/>
      <c r="I80"/>
      <c r="J80" s="6"/>
      <c r="K80" s="6"/>
      <c r="L80" s="6"/>
    </row>
    <row r="81" spans="2:12" s="1" customFormat="1">
      <c r="B81"/>
      <c r="C81"/>
      <c r="D81"/>
      <c r="E81"/>
      <c r="F81"/>
      <c r="G81"/>
      <c r="H81"/>
      <c r="I81"/>
      <c r="J81" s="6"/>
      <c r="K81" s="6"/>
      <c r="L81" s="6"/>
    </row>
    <row r="82" spans="2:12" s="1" customFormat="1">
      <c r="B82"/>
      <c r="C82"/>
      <c r="D82"/>
      <c r="E82"/>
      <c r="F82"/>
      <c r="G82"/>
      <c r="H82"/>
      <c r="I82"/>
      <c r="J82" s="6"/>
      <c r="K82" s="6"/>
      <c r="L82" s="6"/>
    </row>
    <row r="83" spans="2:12" s="1" customFormat="1">
      <c r="B83"/>
      <c r="C83"/>
      <c r="D83"/>
      <c r="E83"/>
      <c r="F83"/>
      <c r="G83"/>
      <c r="H83"/>
      <c r="I83"/>
      <c r="J83" s="6"/>
      <c r="K83" s="6"/>
      <c r="L83" s="6"/>
    </row>
    <row r="84" spans="2:12" s="1" customFormat="1">
      <c r="B84"/>
      <c r="C84"/>
      <c r="D84"/>
      <c r="E84"/>
      <c r="F84"/>
      <c r="G84"/>
      <c r="H84"/>
      <c r="I84"/>
      <c r="J84" s="6"/>
      <c r="K84" s="6"/>
      <c r="L84" s="6"/>
    </row>
    <row r="85" spans="2:12" s="1" customFormat="1">
      <c r="B85"/>
      <c r="C85"/>
      <c r="D85"/>
      <c r="E85"/>
      <c r="F85"/>
      <c r="G85"/>
      <c r="H85"/>
      <c r="I85"/>
      <c r="J85" s="6"/>
      <c r="K85" s="6"/>
      <c r="L85" s="6"/>
    </row>
    <row r="86" spans="2:12" s="1" customFormat="1">
      <c r="B86"/>
      <c r="C86"/>
      <c r="D86"/>
      <c r="E86"/>
      <c r="F86"/>
      <c r="G86"/>
      <c r="H86"/>
      <c r="I86"/>
      <c r="J86" s="6"/>
      <c r="K86" s="6"/>
      <c r="L86" s="6"/>
    </row>
    <row r="87" spans="2:12" s="1" customFormat="1">
      <c r="B87"/>
      <c r="C87"/>
      <c r="D87"/>
      <c r="E87"/>
      <c r="F87"/>
      <c r="G87"/>
      <c r="H87"/>
      <c r="I87"/>
      <c r="J87" s="6"/>
      <c r="K87" s="6"/>
      <c r="L87" s="6"/>
    </row>
    <row r="88" spans="2:12" s="1" customFormat="1">
      <c r="B88"/>
      <c r="C88"/>
      <c r="D88"/>
      <c r="E88"/>
      <c r="F88"/>
      <c r="G88"/>
      <c r="H88"/>
      <c r="I88"/>
      <c r="J88" s="6"/>
      <c r="K88" s="6"/>
      <c r="L88" s="6"/>
    </row>
    <row r="89" spans="2:12" s="1" customFormat="1">
      <c r="B89"/>
      <c r="C89"/>
      <c r="D89"/>
      <c r="E89"/>
      <c r="F89"/>
      <c r="G89"/>
      <c r="H89"/>
      <c r="I89"/>
      <c r="J89" s="6"/>
      <c r="K89" s="6"/>
      <c r="L89" s="6"/>
    </row>
    <row r="90" spans="2:12" s="1" customFormat="1">
      <c r="B90"/>
      <c r="C90"/>
      <c r="D90"/>
      <c r="E90"/>
      <c r="F90"/>
      <c r="G90"/>
      <c r="H90"/>
      <c r="I90"/>
      <c r="J90" s="6"/>
      <c r="K90" s="6"/>
      <c r="L90" s="6"/>
    </row>
    <row r="91" spans="2:12" s="1" customFormat="1">
      <c r="B91"/>
      <c r="C91"/>
      <c r="D91"/>
      <c r="E91"/>
      <c r="F91"/>
      <c r="G91"/>
      <c r="H91"/>
      <c r="I91"/>
      <c r="J91" s="6"/>
      <c r="K91" s="6"/>
      <c r="L91" s="6"/>
    </row>
    <row r="92" spans="2:12" s="1" customFormat="1">
      <c r="B92"/>
      <c r="C92"/>
      <c r="D92"/>
      <c r="E92"/>
      <c r="F92"/>
      <c r="G92"/>
      <c r="H92"/>
      <c r="I92"/>
      <c r="J92" s="6"/>
      <c r="K92" s="6"/>
      <c r="L92" s="6"/>
    </row>
    <row r="93" spans="2:12" s="1" customFormat="1">
      <c r="B93"/>
      <c r="C93"/>
      <c r="D93"/>
      <c r="E93"/>
      <c r="F93"/>
      <c r="G93"/>
      <c r="H93"/>
      <c r="I93"/>
      <c r="J93" s="6"/>
      <c r="K93" s="6"/>
      <c r="L93" s="6"/>
    </row>
    <row r="94" spans="2:12" s="1" customFormat="1">
      <c r="B94"/>
      <c r="C94"/>
      <c r="D94"/>
      <c r="E94"/>
      <c r="F94"/>
      <c r="G94"/>
      <c r="H94"/>
      <c r="I94"/>
      <c r="J94" s="6"/>
      <c r="K94" s="6"/>
      <c r="L94" s="6"/>
    </row>
    <row r="95" spans="2:12" s="1" customFormat="1">
      <c r="B95"/>
      <c r="C95"/>
      <c r="D95"/>
      <c r="E95"/>
      <c r="F95"/>
      <c r="G95"/>
      <c r="H95"/>
      <c r="I95"/>
      <c r="J95" s="6"/>
      <c r="K95" s="6"/>
      <c r="L95" s="6"/>
    </row>
    <row r="96" spans="2:12" s="1" customFormat="1">
      <c r="B96"/>
      <c r="C96"/>
      <c r="D96"/>
      <c r="E96"/>
      <c r="F96"/>
      <c r="G96"/>
      <c r="H96"/>
      <c r="I96"/>
      <c r="J96" s="6"/>
      <c r="K96" s="6"/>
      <c r="L96" s="6"/>
    </row>
    <row r="97" spans="2:12" s="1" customFormat="1">
      <c r="B97"/>
      <c r="C97"/>
      <c r="D97"/>
      <c r="E97"/>
      <c r="F97"/>
      <c r="G97"/>
      <c r="H97"/>
      <c r="I97"/>
      <c r="J97" s="6"/>
      <c r="K97" s="6"/>
      <c r="L97" s="6"/>
    </row>
    <row r="98" spans="2:12" s="1" customFormat="1">
      <c r="B98"/>
      <c r="C98"/>
      <c r="D98"/>
      <c r="E98"/>
      <c r="F98"/>
      <c r="G98"/>
      <c r="H98"/>
      <c r="I98"/>
      <c r="J98" s="6"/>
      <c r="K98" s="6"/>
      <c r="L98" s="6"/>
    </row>
    <row r="99" spans="2:12" s="1" customFormat="1">
      <c r="B99"/>
      <c r="C99"/>
      <c r="D99"/>
      <c r="E99"/>
      <c r="F99"/>
      <c r="G99"/>
      <c r="H99"/>
      <c r="I99"/>
      <c r="J99" s="6"/>
      <c r="K99" s="6"/>
      <c r="L99" s="6"/>
    </row>
    <row r="100" spans="2:12" s="1" customFormat="1">
      <c r="B100"/>
      <c r="C100"/>
      <c r="D100"/>
      <c r="E100"/>
      <c r="F100"/>
      <c r="G100"/>
      <c r="H100"/>
      <c r="I100"/>
      <c r="J100" s="6"/>
      <c r="K100" s="6"/>
      <c r="L100" s="6"/>
    </row>
    <row r="101" spans="2:12" s="1" customFormat="1">
      <c r="B101"/>
      <c r="C101"/>
      <c r="D101"/>
      <c r="E101"/>
      <c r="F101"/>
      <c r="G101"/>
      <c r="H101"/>
      <c r="I101"/>
      <c r="J101" s="6"/>
      <c r="K101" s="6"/>
      <c r="L101" s="6"/>
    </row>
    <row r="102" spans="2:12" s="1" customFormat="1">
      <c r="B102"/>
      <c r="C102"/>
      <c r="D102"/>
      <c r="E102"/>
      <c r="F102"/>
      <c r="G102"/>
      <c r="H102"/>
      <c r="I102"/>
      <c r="J102" s="6"/>
      <c r="K102" s="6"/>
      <c r="L102" s="6"/>
    </row>
    <row r="103" spans="2:12" s="1" customFormat="1">
      <c r="B103"/>
      <c r="C103"/>
      <c r="D103"/>
      <c r="E103"/>
      <c r="F103"/>
      <c r="G103"/>
      <c r="H103"/>
      <c r="I103"/>
      <c r="J103" s="6"/>
      <c r="K103" s="6"/>
      <c r="L103" s="6"/>
    </row>
    <row r="104" spans="2:12" s="1" customFormat="1">
      <c r="B104"/>
      <c r="C104"/>
      <c r="D104"/>
      <c r="E104"/>
      <c r="F104"/>
      <c r="G104"/>
      <c r="H104"/>
      <c r="I104"/>
      <c r="J104" s="6"/>
      <c r="K104" s="6"/>
      <c r="L104" s="6"/>
    </row>
    <row r="105" spans="2:12" s="1" customFormat="1">
      <c r="B105"/>
      <c r="C105"/>
      <c r="D105"/>
      <c r="E105"/>
      <c r="F105"/>
      <c r="G105"/>
      <c r="H105"/>
      <c r="I105"/>
      <c r="J105" s="6"/>
      <c r="K105" s="6"/>
      <c r="L105" s="6"/>
    </row>
    <row r="106" spans="2:12" s="1" customFormat="1">
      <c r="B106"/>
      <c r="C106"/>
      <c r="D106"/>
      <c r="E106"/>
      <c r="F106"/>
      <c r="G106"/>
      <c r="H106"/>
      <c r="I106"/>
      <c r="J106" s="6"/>
      <c r="K106" s="6"/>
      <c r="L106" s="6"/>
    </row>
    <row r="107" spans="2:12" s="1" customFormat="1">
      <c r="B107"/>
      <c r="C107"/>
      <c r="D107"/>
      <c r="E107"/>
      <c r="F107"/>
      <c r="G107"/>
      <c r="H107"/>
      <c r="I107"/>
      <c r="J107" s="6"/>
      <c r="K107" s="6"/>
      <c r="L107" s="6"/>
    </row>
    <row r="108" spans="2:12" s="1" customFormat="1">
      <c r="B108"/>
      <c r="C108"/>
      <c r="D108"/>
      <c r="E108"/>
      <c r="F108"/>
      <c r="G108"/>
      <c r="H108"/>
      <c r="I108"/>
      <c r="J108" s="6"/>
      <c r="K108" s="6"/>
      <c r="L108" s="6"/>
    </row>
    <row r="109" spans="2:12" s="1" customFormat="1">
      <c r="B109"/>
      <c r="C109"/>
      <c r="D109"/>
      <c r="E109"/>
      <c r="F109"/>
      <c r="G109"/>
      <c r="H109"/>
      <c r="I109"/>
      <c r="J109" s="6"/>
      <c r="K109" s="6"/>
      <c r="L109" s="6"/>
    </row>
    <row r="110" spans="2:12" s="1" customFormat="1">
      <c r="B110"/>
      <c r="C110"/>
      <c r="D110"/>
      <c r="E110"/>
      <c r="F110"/>
      <c r="G110"/>
      <c r="H110"/>
      <c r="I110"/>
      <c r="J110" s="6"/>
      <c r="K110" s="6"/>
      <c r="L110" s="6"/>
    </row>
    <row r="111" spans="2:12" s="1" customFormat="1">
      <c r="B111"/>
      <c r="C111"/>
      <c r="D111"/>
      <c r="E111"/>
      <c r="F111"/>
      <c r="G111"/>
      <c r="H111"/>
      <c r="I111"/>
      <c r="J111" s="6"/>
      <c r="K111" s="6"/>
      <c r="L111" s="6"/>
    </row>
    <row r="112" spans="2:12" s="1" customFormat="1"/>
  </sheetData>
  <mergeCells count="1">
    <mergeCell ref="G3:I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38"/>
  <sheetViews>
    <sheetView showGridLines="0" tabSelected="1" zoomScale="130" zoomScaleNormal="130" workbookViewId="0">
      <selection activeCell="J8" sqref="J8"/>
    </sheetView>
  </sheetViews>
  <sheetFormatPr defaultColWidth="0" defaultRowHeight="15" customHeight="1" zeroHeight="1"/>
  <cols>
    <col min="1" max="1" width="3.7109375" style="1" customWidth="1"/>
    <col min="2" max="2" width="10.85546875" customWidth="1"/>
    <col min="3" max="3" width="40.7109375" customWidth="1"/>
    <col min="4" max="12" width="9.140625" customWidth="1"/>
    <col min="13" max="13" width="3.7109375" style="1" customWidth="1"/>
    <col min="14" max="16384" width="9.140625" hidden="1"/>
  </cols>
  <sheetData>
    <row r="1" spans="2:12" s="1" customFormat="1"/>
    <row r="2" spans="2:12">
      <c r="B2" s="2" t="str">
        <f>Company_name</f>
        <v>Coca-Cola Bottling Co. Consolidated (COKE)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t="16.5" thickBot="1">
      <c r="B3" s="2"/>
      <c r="C3" s="2"/>
      <c r="D3" s="259" t="s">
        <v>3</v>
      </c>
      <c r="E3" s="259"/>
      <c r="F3" s="259"/>
      <c r="G3" s="259"/>
      <c r="H3" s="259"/>
      <c r="I3" s="259"/>
      <c r="J3" s="261"/>
      <c r="K3" s="261"/>
      <c r="L3" s="261"/>
    </row>
    <row r="4" spans="2:12">
      <c r="B4" s="2" t="str">
        <f>Currency</f>
        <v>(in thousands, except per share data)</v>
      </c>
      <c r="C4" s="2"/>
      <c r="D4" s="5">
        <f>EDATE(E4,-12)</f>
        <v>41974</v>
      </c>
      <c r="E4" s="5">
        <f>EDATE(F4,-12)</f>
        <v>42339</v>
      </c>
      <c r="F4" s="5">
        <f>EDATE(G4,-12)</f>
        <v>42705</v>
      </c>
      <c r="G4" s="5">
        <f>EDATE(H4,-12)</f>
        <v>43070</v>
      </c>
      <c r="H4" s="5">
        <f>EDATE(I4,-12)</f>
        <v>43435</v>
      </c>
      <c r="I4" s="5">
        <f>LHY</f>
        <v>43800</v>
      </c>
      <c r="J4" s="260">
        <f>EDATE(I4,12)</f>
        <v>44166</v>
      </c>
      <c r="K4" s="260">
        <f t="shared" ref="K4:L4" si="0">EDATE(J4,12)</f>
        <v>44531</v>
      </c>
      <c r="L4" s="260">
        <f t="shared" si="0"/>
        <v>44896</v>
      </c>
    </row>
    <row r="5" spans="2:12">
      <c r="J5" s="308"/>
      <c r="K5" s="308"/>
      <c r="L5" s="308"/>
    </row>
    <row r="6" spans="2:12">
      <c r="J6" s="308"/>
      <c r="K6" s="308"/>
      <c r="L6" s="308"/>
    </row>
    <row r="7" spans="2:12">
      <c r="J7" s="308"/>
      <c r="K7" s="308"/>
      <c r="L7" s="308"/>
    </row>
    <row r="8" spans="2:12">
      <c r="C8" s="272" t="s">
        <v>202</v>
      </c>
      <c r="D8" s="273"/>
      <c r="E8" s="273"/>
      <c r="F8" s="273"/>
      <c r="J8" s="308"/>
      <c r="K8" s="308"/>
      <c r="L8" s="308"/>
    </row>
    <row r="9" spans="2:12" s="1" customFormat="1">
      <c r="B9"/>
      <c r="C9" s="274" t="s">
        <v>203</v>
      </c>
      <c r="D9" s="273"/>
      <c r="E9" s="273"/>
      <c r="F9" s="273"/>
      <c r="G9" s="275">
        <v>10204</v>
      </c>
      <c r="H9" s="275">
        <v>10204</v>
      </c>
      <c r="I9" s="275">
        <v>10204</v>
      </c>
      <c r="J9" s="309">
        <f t="shared" ref="J9:L9" si="1">I17</f>
        <v>10204</v>
      </c>
      <c r="K9" s="309">
        <f t="shared" si="1"/>
        <v>10204</v>
      </c>
      <c r="L9" s="309">
        <f t="shared" si="1"/>
        <v>10204</v>
      </c>
    </row>
    <row r="10" spans="2:12" s="1" customFormat="1">
      <c r="B10"/>
      <c r="C10" s="276" t="s">
        <v>4</v>
      </c>
      <c r="D10" s="273"/>
      <c r="E10" s="273"/>
      <c r="F10" s="273"/>
      <c r="G10" s="277" t="s">
        <v>27</v>
      </c>
      <c r="H10" s="277" t="s">
        <v>27</v>
      </c>
      <c r="I10" s="277" t="s">
        <v>27</v>
      </c>
      <c r="J10" s="308"/>
      <c r="K10" s="308"/>
      <c r="L10" s="308"/>
    </row>
    <row r="11" spans="2:12" s="1" customFormat="1">
      <c r="B11"/>
      <c r="C11" s="276" t="s">
        <v>204</v>
      </c>
      <c r="D11" s="273"/>
      <c r="E11" s="273"/>
      <c r="F11" s="273"/>
      <c r="G11" s="277" t="s">
        <v>27</v>
      </c>
      <c r="H11" s="277" t="s">
        <v>27</v>
      </c>
      <c r="I11" s="277" t="s">
        <v>27</v>
      </c>
      <c r="J11" s="308"/>
      <c r="K11" s="308"/>
      <c r="L11" s="308"/>
    </row>
    <row r="12" spans="2:12" s="1" customFormat="1">
      <c r="B12"/>
      <c r="C12" s="276" t="s">
        <v>205</v>
      </c>
      <c r="D12" s="273"/>
      <c r="E12" s="273"/>
      <c r="F12" s="273"/>
      <c r="G12" s="277"/>
      <c r="H12" s="277"/>
      <c r="I12" s="277"/>
      <c r="J12" s="308"/>
      <c r="K12" s="308"/>
      <c r="L12" s="308"/>
    </row>
    <row r="13" spans="2:12" s="1" customFormat="1">
      <c r="B13"/>
      <c r="C13" s="278" t="s">
        <v>206</v>
      </c>
      <c r="D13" s="273"/>
      <c r="E13" s="273"/>
      <c r="F13" s="273"/>
      <c r="G13" s="277" t="s">
        <v>27</v>
      </c>
      <c r="H13" s="277" t="s">
        <v>27</v>
      </c>
      <c r="I13" s="277" t="s">
        <v>27</v>
      </c>
      <c r="J13" s="308"/>
      <c r="K13" s="308"/>
      <c r="L13" s="308"/>
    </row>
    <row r="14" spans="2:12" s="1" customFormat="1">
      <c r="B14"/>
      <c r="C14" s="278" t="s">
        <v>207</v>
      </c>
      <c r="D14" s="273"/>
      <c r="E14" s="273"/>
      <c r="F14" s="273"/>
      <c r="G14" s="277" t="s">
        <v>27</v>
      </c>
      <c r="H14" s="277" t="s">
        <v>27</v>
      </c>
      <c r="I14" s="277" t="s">
        <v>27</v>
      </c>
      <c r="J14" s="308"/>
      <c r="K14" s="308"/>
      <c r="L14" s="308"/>
    </row>
    <row r="15" spans="2:12" s="1" customFormat="1">
      <c r="B15"/>
      <c r="C15" s="276" t="s">
        <v>208</v>
      </c>
      <c r="D15" s="273"/>
      <c r="E15" s="273"/>
      <c r="F15" s="273"/>
      <c r="G15" s="277" t="s">
        <v>27</v>
      </c>
      <c r="H15" s="277" t="s">
        <v>27</v>
      </c>
      <c r="I15" s="277" t="s">
        <v>27</v>
      </c>
      <c r="J15" s="308"/>
      <c r="K15" s="308"/>
      <c r="L15" s="308"/>
    </row>
    <row r="16" spans="2:12" s="1" customFormat="1">
      <c r="B16"/>
      <c r="C16" s="276" t="s">
        <v>209</v>
      </c>
      <c r="D16" s="273"/>
      <c r="E16" s="273"/>
      <c r="F16" s="273"/>
      <c r="G16" s="273"/>
      <c r="H16" s="273"/>
      <c r="I16" s="277" t="s">
        <v>27</v>
      </c>
      <c r="J16" s="308"/>
      <c r="K16" s="308"/>
      <c r="L16" s="308"/>
    </row>
    <row r="17" spans="2:12" s="1" customFormat="1">
      <c r="B17"/>
      <c r="C17" s="285" t="s">
        <v>153</v>
      </c>
      <c r="D17" s="286"/>
      <c r="E17" s="286"/>
      <c r="F17" s="286"/>
      <c r="G17" s="287">
        <v>10204</v>
      </c>
      <c r="H17" s="287">
        <v>10204</v>
      </c>
      <c r="I17" s="287">
        <v>10204</v>
      </c>
      <c r="J17" s="310">
        <f t="shared" ref="J17:L17" si="2">SUM(J9:J16)</f>
        <v>10204</v>
      </c>
      <c r="K17" s="310">
        <f t="shared" si="2"/>
        <v>10204</v>
      </c>
      <c r="L17" s="310">
        <f t="shared" si="2"/>
        <v>10204</v>
      </c>
    </row>
    <row r="18" spans="2:12" s="1" customFormat="1">
      <c r="B18"/>
      <c r="C18" s="51"/>
      <c r="D18" s="273"/>
      <c r="E18" s="273"/>
      <c r="F18" s="273"/>
      <c r="G18" s="273"/>
      <c r="H18" s="273"/>
      <c r="I18" s="273"/>
      <c r="J18" s="308"/>
      <c r="K18" s="308"/>
      <c r="L18" s="308"/>
    </row>
    <row r="19" spans="2:12" s="1" customFormat="1">
      <c r="B19"/>
      <c r="C19" s="51"/>
      <c r="D19" s="273"/>
      <c r="E19" s="273"/>
      <c r="F19" s="273"/>
      <c r="G19" s="273"/>
      <c r="H19" s="273"/>
      <c r="I19" s="273"/>
      <c r="J19" s="308"/>
      <c r="K19" s="308"/>
      <c r="L19" s="308"/>
    </row>
    <row r="20" spans="2:12" s="1" customFormat="1">
      <c r="B20"/>
      <c r="C20" s="272" t="s">
        <v>210</v>
      </c>
      <c r="D20" s="273"/>
      <c r="E20" s="273"/>
      <c r="F20" s="273"/>
      <c r="G20" s="273"/>
      <c r="H20" s="273"/>
      <c r="I20" s="273"/>
      <c r="J20" s="308"/>
      <c r="K20" s="308"/>
      <c r="L20" s="308"/>
    </row>
    <row r="21" spans="2:12" s="1" customFormat="1">
      <c r="B21"/>
      <c r="C21" s="272" t="s">
        <v>155</v>
      </c>
      <c r="D21" s="273"/>
      <c r="E21" s="273"/>
      <c r="F21" s="273"/>
      <c r="G21" s="275">
        <v>2798</v>
      </c>
      <c r="H21" s="275">
        <v>2819</v>
      </c>
      <c r="I21" s="275">
        <v>2839</v>
      </c>
      <c r="J21" s="309">
        <f t="shared" ref="J21:L21" si="3">I30</f>
        <v>2860</v>
      </c>
      <c r="K21" s="309">
        <f t="shared" si="3"/>
        <v>2881</v>
      </c>
      <c r="L21" s="309">
        <f t="shared" si="3"/>
        <v>2902</v>
      </c>
    </row>
    <row r="22" spans="2:12" s="1" customFormat="1">
      <c r="B22"/>
      <c r="C22" s="274" t="s">
        <v>211</v>
      </c>
      <c r="D22" s="273"/>
      <c r="E22" s="273"/>
      <c r="F22" s="273"/>
      <c r="G22" s="277" t="s">
        <v>27</v>
      </c>
      <c r="H22" s="277" t="s">
        <v>27</v>
      </c>
      <c r="I22" s="277" t="s">
        <v>27</v>
      </c>
      <c r="J22" s="308"/>
      <c r="K22" s="308"/>
      <c r="L22" s="308"/>
    </row>
    <row r="23" spans="2:12" s="1" customFormat="1">
      <c r="B23"/>
      <c r="C23" s="276" t="s">
        <v>4</v>
      </c>
      <c r="D23" s="273"/>
      <c r="E23" s="273"/>
      <c r="F23" s="273"/>
      <c r="G23" s="277" t="s">
        <v>27</v>
      </c>
      <c r="H23" s="277" t="s">
        <v>27</v>
      </c>
      <c r="I23" s="277" t="s">
        <v>27</v>
      </c>
      <c r="J23" s="308"/>
      <c r="K23" s="308"/>
      <c r="L23" s="308"/>
    </row>
    <row r="24" spans="2:12" s="1" customFormat="1">
      <c r="B24"/>
      <c r="C24" s="276" t="s">
        <v>204</v>
      </c>
      <c r="D24" s="273"/>
      <c r="E24" s="273"/>
      <c r="F24" s="273"/>
      <c r="G24" s="277"/>
      <c r="H24" s="277"/>
      <c r="I24" s="277"/>
      <c r="J24" s="308"/>
      <c r="K24" s="308"/>
      <c r="L24" s="308"/>
    </row>
    <row r="25" spans="2:12" s="1" customFormat="1">
      <c r="B25"/>
      <c r="C25" s="276" t="s">
        <v>205</v>
      </c>
      <c r="D25" s="273"/>
      <c r="E25" s="273"/>
      <c r="F25" s="273"/>
      <c r="G25" s="277" t="s">
        <v>27</v>
      </c>
      <c r="H25" s="277" t="s">
        <v>27</v>
      </c>
      <c r="I25" s="277" t="s">
        <v>27</v>
      </c>
      <c r="J25" s="308"/>
      <c r="K25" s="308"/>
      <c r="L25" s="308"/>
    </row>
    <row r="26" spans="2:12" s="1" customFormat="1">
      <c r="B26"/>
      <c r="C26" s="278" t="s">
        <v>206</v>
      </c>
      <c r="D26" s="273"/>
      <c r="E26" s="273"/>
      <c r="F26" s="273"/>
      <c r="G26" s="277" t="s">
        <v>27</v>
      </c>
      <c r="H26" s="277" t="s">
        <v>27</v>
      </c>
      <c r="I26" s="277" t="s">
        <v>27</v>
      </c>
      <c r="J26" s="308"/>
      <c r="K26" s="308"/>
      <c r="L26" s="308"/>
    </row>
    <row r="27" spans="2:12" s="1" customFormat="1">
      <c r="B27"/>
      <c r="C27" s="278" t="s">
        <v>207</v>
      </c>
      <c r="D27" s="273"/>
      <c r="E27" s="273"/>
      <c r="F27" s="273"/>
      <c r="G27" s="277">
        <v>21</v>
      </c>
      <c r="H27" s="277">
        <v>20</v>
      </c>
      <c r="I27" s="277">
        <v>21</v>
      </c>
      <c r="J27" s="308">
        <f>I27</f>
        <v>21</v>
      </c>
      <c r="K27" s="308">
        <f t="shared" ref="K27:L27" si="4">J27</f>
        <v>21</v>
      </c>
      <c r="L27" s="308">
        <f t="shared" si="4"/>
        <v>21</v>
      </c>
    </row>
    <row r="28" spans="2:12" s="1" customFormat="1">
      <c r="B28"/>
      <c r="C28" s="276" t="s">
        <v>208</v>
      </c>
      <c r="D28" s="273"/>
      <c r="E28" s="273"/>
      <c r="F28" s="273"/>
      <c r="G28" s="273"/>
      <c r="H28" s="273"/>
      <c r="I28" s="277" t="s">
        <v>27</v>
      </c>
      <c r="J28" s="308"/>
      <c r="K28" s="308"/>
      <c r="L28" s="308"/>
    </row>
    <row r="29" spans="2:12" s="1" customFormat="1">
      <c r="B29"/>
      <c r="C29" s="276" t="s">
        <v>209</v>
      </c>
      <c r="D29" s="273"/>
      <c r="E29" s="273"/>
      <c r="F29" s="273"/>
      <c r="G29" s="273"/>
      <c r="H29" s="273"/>
      <c r="I29" s="273"/>
      <c r="J29" s="308"/>
      <c r="K29" s="308"/>
      <c r="L29" s="308"/>
    </row>
    <row r="30" spans="2:12" s="1" customFormat="1">
      <c r="B30"/>
      <c r="C30" s="285" t="s">
        <v>153</v>
      </c>
      <c r="D30" s="286"/>
      <c r="E30" s="286"/>
      <c r="F30" s="286"/>
      <c r="G30" s="287">
        <v>2819</v>
      </c>
      <c r="H30" s="287">
        <v>2839</v>
      </c>
      <c r="I30" s="287">
        <v>2860</v>
      </c>
      <c r="J30" s="310">
        <f t="shared" ref="J30:L30" si="5">SUM(J21:J29)</f>
        <v>2881</v>
      </c>
      <c r="K30" s="310">
        <f t="shared" si="5"/>
        <v>2902</v>
      </c>
      <c r="L30" s="310">
        <f t="shared" si="5"/>
        <v>2923</v>
      </c>
    </row>
    <row r="31" spans="2:12" s="1" customFormat="1">
      <c r="B31"/>
      <c r="C31" s="51"/>
      <c r="D31" s="273"/>
      <c r="E31" s="273"/>
      <c r="F31" s="273"/>
      <c r="G31" s="273"/>
      <c r="H31" s="273"/>
      <c r="I31" s="273"/>
      <c r="J31" s="308"/>
      <c r="K31" s="308"/>
      <c r="L31" s="308"/>
    </row>
    <row r="32" spans="2:12" s="1" customFormat="1">
      <c r="B32"/>
      <c r="C32" s="51"/>
      <c r="D32" s="273"/>
      <c r="E32" s="273"/>
      <c r="F32" s="273"/>
      <c r="G32" s="281"/>
      <c r="H32" s="281"/>
      <c r="I32" s="273"/>
      <c r="J32" s="308"/>
      <c r="K32" s="308"/>
      <c r="L32" s="308"/>
    </row>
    <row r="33" spans="2:12" s="1" customFormat="1">
      <c r="B33"/>
      <c r="C33" s="272" t="s">
        <v>221</v>
      </c>
      <c r="D33" s="273"/>
      <c r="E33" s="273"/>
      <c r="F33" s="273"/>
      <c r="G33" s="273"/>
      <c r="H33" s="273"/>
      <c r="I33" s="273"/>
      <c r="J33" s="308"/>
      <c r="K33" s="308"/>
      <c r="L33" s="308"/>
    </row>
    <row r="34" spans="2:12" s="1" customFormat="1">
      <c r="B34"/>
      <c r="C34" s="279" t="s">
        <v>155</v>
      </c>
      <c r="D34" s="273"/>
      <c r="E34" s="273"/>
      <c r="F34" s="273"/>
      <c r="G34" s="275">
        <v>116769</v>
      </c>
      <c r="H34" s="275">
        <v>120417</v>
      </c>
      <c r="I34" s="275">
        <v>124228</v>
      </c>
      <c r="J34" s="309">
        <f t="shared" ref="J34:L34" si="6">I42</f>
        <v>128983</v>
      </c>
      <c r="K34" s="309">
        <f t="shared" si="6"/>
        <v>133738</v>
      </c>
      <c r="L34" s="309">
        <f t="shared" si="6"/>
        <v>138493</v>
      </c>
    </row>
    <row r="35" spans="2:12" s="1" customFormat="1">
      <c r="B35"/>
      <c r="C35" s="276" t="s">
        <v>4</v>
      </c>
      <c r="D35" s="273"/>
      <c r="E35" s="273"/>
      <c r="F35" s="273"/>
      <c r="G35" s="277" t="s">
        <v>27</v>
      </c>
      <c r="H35" s="277" t="s">
        <v>27</v>
      </c>
      <c r="I35" s="277" t="s">
        <v>27</v>
      </c>
      <c r="J35" s="308"/>
      <c r="K35" s="308"/>
      <c r="L35" s="308"/>
    </row>
    <row r="36" spans="2:12" s="1" customFormat="1">
      <c r="B36"/>
      <c r="C36" s="276" t="s">
        <v>204</v>
      </c>
      <c r="D36" s="273"/>
      <c r="E36" s="273"/>
      <c r="F36" s="273"/>
      <c r="G36" s="277" t="s">
        <v>27</v>
      </c>
      <c r="H36" s="277" t="s">
        <v>27</v>
      </c>
      <c r="I36" s="277" t="s">
        <v>27</v>
      </c>
      <c r="J36" s="308"/>
      <c r="K36" s="308"/>
      <c r="L36" s="308"/>
    </row>
    <row r="37" spans="2:12" s="1" customFormat="1">
      <c r="B37"/>
      <c r="C37" s="276" t="s">
        <v>205</v>
      </c>
      <c r="D37" s="273"/>
      <c r="E37" s="273"/>
      <c r="F37" s="273"/>
      <c r="G37" s="277"/>
      <c r="H37" s="277"/>
      <c r="I37" s="277"/>
      <c r="J37" s="308"/>
      <c r="K37" s="308"/>
      <c r="L37" s="308"/>
    </row>
    <row r="38" spans="2:12" s="1" customFormat="1">
      <c r="B38"/>
      <c r="C38" s="278" t="s">
        <v>206</v>
      </c>
      <c r="D38" s="273"/>
      <c r="E38" s="273"/>
      <c r="F38" s="273"/>
      <c r="G38" s="277" t="s">
        <v>27</v>
      </c>
      <c r="H38" s="277" t="s">
        <v>27</v>
      </c>
      <c r="I38" s="277" t="s">
        <v>27</v>
      </c>
      <c r="J38" s="308"/>
      <c r="K38" s="308"/>
      <c r="L38" s="308"/>
    </row>
    <row r="39" spans="2:12" s="1" customFormat="1">
      <c r="B39"/>
      <c r="C39" s="278" t="s">
        <v>207</v>
      </c>
      <c r="D39" s="273"/>
      <c r="E39" s="273"/>
      <c r="F39" s="273"/>
      <c r="G39" s="277" t="s">
        <v>27</v>
      </c>
      <c r="H39" s="277" t="s">
        <v>27</v>
      </c>
      <c r="I39" s="277" t="s">
        <v>27</v>
      </c>
      <c r="J39" s="308"/>
      <c r="K39" s="308"/>
      <c r="L39" s="308"/>
    </row>
    <row r="40" spans="2:12" s="1" customFormat="1">
      <c r="B40"/>
      <c r="C40" s="276" t="s">
        <v>212</v>
      </c>
      <c r="D40" s="273"/>
      <c r="E40" s="273"/>
      <c r="F40" s="273"/>
      <c r="G40" s="282">
        <v>3648</v>
      </c>
      <c r="H40" s="282">
        <v>3811</v>
      </c>
      <c r="I40" s="282">
        <v>4755</v>
      </c>
      <c r="J40" s="309">
        <f t="shared" ref="J40:L40" si="7">I40</f>
        <v>4755</v>
      </c>
      <c r="K40" s="309">
        <f t="shared" si="7"/>
        <v>4755</v>
      </c>
      <c r="L40" s="309">
        <f t="shared" si="7"/>
        <v>4755</v>
      </c>
    </row>
    <row r="41" spans="2:12" s="1" customFormat="1">
      <c r="B41"/>
      <c r="C41" s="276" t="s">
        <v>209</v>
      </c>
      <c r="D41" s="273"/>
      <c r="E41" s="273"/>
      <c r="F41" s="273"/>
      <c r="G41" s="273"/>
      <c r="H41" s="273"/>
      <c r="I41" s="277" t="s">
        <v>27</v>
      </c>
      <c r="J41" s="308"/>
      <c r="K41" s="308"/>
      <c r="L41" s="308"/>
    </row>
    <row r="42" spans="2:12" s="1" customFormat="1" ht="15.75" thickBot="1">
      <c r="B42"/>
      <c r="C42" s="274" t="s">
        <v>153</v>
      </c>
      <c r="D42" s="273"/>
      <c r="E42" s="273"/>
      <c r="F42" s="273"/>
      <c r="G42" s="280">
        <v>120417</v>
      </c>
      <c r="H42" s="280">
        <v>124228</v>
      </c>
      <c r="I42" s="280">
        <v>128983</v>
      </c>
      <c r="J42" s="310">
        <f t="shared" ref="J42" si="8">SUM(J34:J41)</f>
        <v>133738</v>
      </c>
      <c r="K42" s="310">
        <f t="shared" ref="K42" si="9">SUM(K34:K41)</f>
        <v>138493</v>
      </c>
      <c r="L42" s="310">
        <f t="shared" ref="L42" si="10">SUM(L34:L41)</f>
        <v>143248</v>
      </c>
    </row>
    <row r="43" spans="2:12" s="1" customFormat="1" ht="15.75" thickTop="1">
      <c r="B43"/>
      <c r="C43" s="274"/>
      <c r="D43" s="273"/>
      <c r="E43" s="273"/>
      <c r="F43" s="273"/>
      <c r="G43" s="273"/>
      <c r="H43" s="273"/>
      <c r="I43" s="273"/>
      <c r="J43" s="309"/>
      <c r="K43" s="308"/>
      <c r="L43" s="308"/>
    </row>
    <row r="44" spans="2:12" s="1" customFormat="1">
      <c r="B44"/>
      <c r="C44" s="272" t="s">
        <v>213</v>
      </c>
      <c r="D44" s="273"/>
      <c r="E44" s="273"/>
      <c r="F44" s="273"/>
      <c r="G44" s="273"/>
      <c r="H44" s="273"/>
      <c r="I44" s="273"/>
      <c r="J44" s="308"/>
      <c r="K44" s="308"/>
      <c r="L44" s="308"/>
    </row>
    <row r="45" spans="2:12" s="1" customFormat="1">
      <c r="B45"/>
      <c r="C45" s="279" t="s">
        <v>155</v>
      </c>
      <c r="D45" s="273"/>
      <c r="E45" s="273"/>
      <c r="F45" s="273"/>
      <c r="G45" s="275">
        <v>301511</v>
      </c>
      <c r="H45" s="275">
        <v>388718</v>
      </c>
      <c r="I45" s="275">
        <v>359435</v>
      </c>
      <c r="J45" s="309">
        <f t="shared" ref="J45:L45" si="11">I53</f>
        <v>381161</v>
      </c>
      <c r="K45" s="309">
        <f t="shared" si="11"/>
        <v>393107.94999999966</v>
      </c>
      <c r="L45" s="309">
        <f t="shared" si="11"/>
        <v>415527.47849999915</v>
      </c>
    </row>
    <row r="46" spans="2:12" s="1" customFormat="1">
      <c r="B46"/>
      <c r="C46" s="276" t="s">
        <v>4</v>
      </c>
      <c r="D46" s="273"/>
      <c r="E46" s="273"/>
      <c r="F46" s="273"/>
      <c r="G46" s="282">
        <v>96535</v>
      </c>
      <c r="H46" s="282">
        <v>-19930</v>
      </c>
      <c r="I46" s="282">
        <v>11375</v>
      </c>
      <c r="J46" s="253">
        <f>'Income Statement'!J20</f>
        <v>21315.949999999648</v>
      </c>
      <c r="K46" s="311">
        <f>'Income Statement'!K20</f>
        <v>31788.528499999506</v>
      </c>
      <c r="L46" s="311">
        <f>'Income Statement'!L20</f>
        <v>33614.2843549994</v>
      </c>
    </row>
    <row r="47" spans="2:12" s="1" customFormat="1">
      <c r="B47"/>
      <c r="C47" s="276" t="s">
        <v>204</v>
      </c>
      <c r="D47" s="273"/>
      <c r="E47" s="273"/>
      <c r="F47" s="273"/>
      <c r="G47" s="277" t="s">
        <v>27</v>
      </c>
      <c r="H47" s="277" t="s">
        <v>27</v>
      </c>
      <c r="I47" s="277" t="s">
        <v>27</v>
      </c>
      <c r="J47" s="308"/>
      <c r="K47" s="308"/>
      <c r="L47" s="308"/>
    </row>
    <row r="48" spans="2:12" s="1" customFormat="1">
      <c r="B48"/>
      <c r="C48" s="288" t="s">
        <v>205</v>
      </c>
      <c r="D48" s="273"/>
      <c r="E48" s="273"/>
      <c r="F48" s="273"/>
      <c r="G48" s="277"/>
      <c r="H48" s="277"/>
      <c r="I48" s="277"/>
      <c r="J48" s="308"/>
      <c r="K48" s="308"/>
      <c r="L48" s="308"/>
    </row>
    <row r="49" spans="2:12" s="1" customFormat="1">
      <c r="B49"/>
      <c r="C49" s="290" t="s">
        <v>206</v>
      </c>
      <c r="D49" s="291"/>
      <c r="E49" s="291"/>
      <c r="F49" s="291"/>
      <c r="G49" s="292">
        <v>-7141</v>
      </c>
      <c r="H49" s="292">
        <v>-7141</v>
      </c>
      <c r="I49" s="292">
        <v>-7141</v>
      </c>
      <c r="J49" s="309">
        <f t="shared" ref="J49:L49" si="12">I49</f>
        <v>-7141</v>
      </c>
      <c r="K49" s="309">
        <f t="shared" si="12"/>
        <v>-7141</v>
      </c>
      <c r="L49" s="309">
        <f t="shared" si="12"/>
        <v>-7141</v>
      </c>
    </row>
    <row r="50" spans="2:12" s="1" customFormat="1">
      <c r="B50"/>
      <c r="C50" s="290" t="s">
        <v>207</v>
      </c>
      <c r="D50" s="291"/>
      <c r="E50" s="291"/>
      <c r="F50" s="291"/>
      <c r="G50" s="292">
        <v>-2187</v>
      </c>
      <c r="H50" s="292">
        <v>-2212</v>
      </c>
      <c r="I50" s="292">
        <v>-2228</v>
      </c>
      <c r="J50" s="309">
        <f t="shared" ref="J50:L50" si="13">I50</f>
        <v>-2228</v>
      </c>
      <c r="K50" s="309">
        <f t="shared" si="13"/>
        <v>-2228</v>
      </c>
      <c r="L50" s="309">
        <f t="shared" si="13"/>
        <v>-2228</v>
      </c>
    </row>
    <row r="51" spans="2:12" s="1" customFormat="1">
      <c r="B51"/>
      <c r="C51" s="276" t="s">
        <v>212</v>
      </c>
      <c r="D51" s="273"/>
      <c r="E51" s="273"/>
      <c r="F51" s="273"/>
      <c r="G51" s="277" t="s">
        <v>27</v>
      </c>
      <c r="H51" s="277" t="s">
        <v>27</v>
      </c>
      <c r="I51" s="277" t="s">
        <v>27</v>
      </c>
      <c r="J51" s="308"/>
      <c r="K51" s="308"/>
      <c r="L51" s="308"/>
    </row>
    <row r="52" spans="2:12" s="1" customFormat="1">
      <c r="B52"/>
      <c r="C52" s="295" t="s">
        <v>209</v>
      </c>
      <c r="D52" s="291"/>
      <c r="E52" s="291"/>
      <c r="F52" s="291"/>
      <c r="G52" s="291"/>
      <c r="H52" s="291"/>
      <c r="I52" s="292">
        <v>19720</v>
      </c>
      <c r="J52" s="308"/>
      <c r="K52" s="308"/>
      <c r="L52" s="308"/>
    </row>
    <row r="53" spans="2:12" s="1" customFormat="1" ht="15.75" thickBot="1">
      <c r="B53"/>
      <c r="C53" s="274" t="s">
        <v>153</v>
      </c>
      <c r="D53" s="273"/>
      <c r="E53" s="273"/>
      <c r="F53" s="273"/>
      <c r="G53" s="280">
        <v>388718</v>
      </c>
      <c r="H53" s="280">
        <v>359435</v>
      </c>
      <c r="I53" s="280">
        <v>381161</v>
      </c>
      <c r="J53" s="312">
        <f t="shared" ref="J53" si="14">SUM(J45:J52)</f>
        <v>393107.94999999966</v>
      </c>
      <c r="K53" s="312">
        <f t="shared" ref="K53" si="15">SUM(K45:K52)</f>
        <v>415527.47849999915</v>
      </c>
      <c r="L53" s="312">
        <f t="shared" ref="L53" si="16">SUM(L45:L52)</f>
        <v>439772.76285499858</v>
      </c>
    </row>
    <row r="54" spans="2:12" s="1" customFormat="1" ht="15.75" thickTop="1">
      <c r="B54"/>
      <c r="C54" s="274"/>
      <c r="D54" s="273"/>
      <c r="E54" s="273"/>
      <c r="F54" s="273"/>
      <c r="G54" s="275"/>
      <c r="H54" s="275"/>
      <c r="I54" s="275"/>
      <c r="J54" s="308"/>
      <c r="K54" s="308"/>
      <c r="L54" s="308"/>
    </row>
    <row r="55" spans="2:12" s="1" customFormat="1">
      <c r="B55"/>
      <c r="C55" s="274"/>
      <c r="D55" s="273"/>
      <c r="E55" s="273"/>
      <c r="F55" s="273"/>
      <c r="G55" s="273"/>
      <c r="H55" s="289"/>
      <c r="I55" s="289"/>
      <c r="J55" s="308"/>
      <c r="K55" s="308"/>
      <c r="L55" s="308"/>
    </row>
    <row r="56" spans="2:12" s="1" customFormat="1">
      <c r="B56"/>
      <c r="C56" s="272" t="s">
        <v>214</v>
      </c>
      <c r="D56" s="273"/>
      <c r="E56" s="273"/>
      <c r="F56" s="273"/>
      <c r="G56" s="273"/>
      <c r="H56" s="273"/>
      <c r="I56" s="273"/>
      <c r="J56" s="308"/>
      <c r="K56" s="308"/>
      <c r="L56" s="308"/>
    </row>
    <row r="57" spans="2:12" s="1" customFormat="1">
      <c r="B57"/>
      <c r="C57" s="279" t="s">
        <v>155</v>
      </c>
      <c r="D57" s="273"/>
      <c r="E57" s="273"/>
      <c r="F57" s="273"/>
      <c r="G57" s="275">
        <v>-92897</v>
      </c>
      <c r="H57" s="275">
        <v>-94202</v>
      </c>
      <c r="I57" s="275">
        <v>-77265</v>
      </c>
      <c r="J57" s="309">
        <f t="shared" ref="J57:L57" si="17">I65</f>
        <v>-115002</v>
      </c>
      <c r="K57" s="309">
        <f t="shared" si="17"/>
        <v>-115002</v>
      </c>
      <c r="L57" s="309">
        <f t="shared" si="17"/>
        <v>-115002</v>
      </c>
    </row>
    <row r="58" spans="2:12" s="1" customFormat="1">
      <c r="B58"/>
      <c r="C58" s="276" t="s">
        <v>4</v>
      </c>
      <c r="D58" s="273"/>
      <c r="E58" s="273"/>
      <c r="F58" s="273"/>
      <c r="G58" s="277" t="s">
        <v>27</v>
      </c>
      <c r="H58" s="277" t="s">
        <v>27</v>
      </c>
      <c r="I58" s="277" t="s">
        <v>27</v>
      </c>
      <c r="J58" s="308"/>
      <c r="K58" s="308"/>
      <c r="L58" s="308"/>
    </row>
    <row r="59" spans="2:12" s="1" customFormat="1">
      <c r="B59" t="s">
        <v>223</v>
      </c>
      <c r="C59" s="276" t="s">
        <v>204</v>
      </c>
      <c r="D59" s="273"/>
      <c r="E59" s="273"/>
      <c r="F59" s="273"/>
      <c r="G59" s="282">
        <v>-1305</v>
      </c>
      <c r="H59" s="282">
        <v>16937</v>
      </c>
      <c r="I59" s="282">
        <v>-18017</v>
      </c>
      <c r="J59" s="308"/>
      <c r="K59" s="308"/>
      <c r="L59" s="308"/>
    </row>
    <row r="60" spans="2:12" s="1" customFormat="1">
      <c r="B60"/>
      <c r="C60" s="276" t="s">
        <v>205</v>
      </c>
      <c r="D60" s="273"/>
      <c r="E60" s="273"/>
      <c r="F60" s="273"/>
      <c r="G60" s="277"/>
      <c r="H60" s="277"/>
      <c r="I60" s="277"/>
      <c r="J60" s="308"/>
      <c r="K60" s="308"/>
      <c r="L60" s="308"/>
    </row>
    <row r="61" spans="2:12" s="1" customFormat="1">
      <c r="B61"/>
      <c r="C61" s="278" t="s">
        <v>206</v>
      </c>
      <c r="D61" s="273"/>
      <c r="E61" s="273"/>
      <c r="F61" s="273"/>
      <c r="G61" s="277" t="s">
        <v>27</v>
      </c>
      <c r="H61" s="277" t="s">
        <v>27</v>
      </c>
      <c r="I61" s="277" t="s">
        <v>27</v>
      </c>
      <c r="J61" s="308"/>
      <c r="K61" s="308"/>
      <c r="L61" s="308"/>
    </row>
    <row r="62" spans="2:12" s="1" customFormat="1">
      <c r="B62"/>
      <c r="C62" s="278" t="s">
        <v>207</v>
      </c>
      <c r="D62" s="273"/>
      <c r="E62" s="273"/>
      <c r="F62" s="273"/>
      <c r="G62" s="277" t="s">
        <v>27</v>
      </c>
      <c r="H62" s="277" t="s">
        <v>27</v>
      </c>
      <c r="I62" s="277" t="s">
        <v>27</v>
      </c>
      <c r="J62" s="308"/>
      <c r="K62" s="308"/>
      <c r="L62" s="308"/>
    </row>
    <row r="63" spans="2:12" s="1" customFormat="1">
      <c r="B63"/>
      <c r="C63" s="276" t="s">
        <v>212</v>
      </c>
      <c r="D63" s="273"/>
      <c r="E63" s="273"/>
      <c r="F63" s="273"/>
      <c r="G63" s="277" t="s">
        <v>27</v>
      </c>
      <c r="H63" s="277" t="s">
        <v>27</v>
      </c>
      <c r="I63" s="277" t="s">
        <v>27</v>
      </c>
      <c r="J63" s="308"/>
      <c r="K63" s="308"/>
      <c r="L63" s="308"/>
    </row>
    <row r="64" spans="2:12" s="1" customFormat="1">
      <c r="B64"/>
      <c r="C64" s="276" t="s">
        <v>209</v>
      </c>
      <c r="D64" s="273"/>
      <c r="E64" s="273"/>
      <c r="F64" s="273"/>
      <c r="G64" s="283"/>
      <c r="H64" s="283"/>
      <c r="I64" s="282">
        <v>-19720</v>
      </c>
      <c r="J64" s="308"/>
      <c r="K64" s="308"/>
      <c r="L64" s="308"/>
    </row>
    <row r="65" spans="2:12" s="1" customFormat="1" ht="15.75" thickBot="1">
      <c r="B65"/>
      <c r="C65" s="274" t="s">
        <v>153</v>
      </c>
      <c r="D65" s="273"/>
      <c r="E65" s="273"/>
      <c r="F65" s="273"/>
      <c r="G65" s="280">
        <v>-94202</v>
      </c>
      <c r="H65" s="280">
        <v>-77265</v>
      </c>
      <c r="I65" s="280">
        <v>-115002</v>
      </c>
      <c r="J65" s="310">
        <f t="shared" ref="J65" si="18">SUM(J57:J64)</f>
        <v>-115002</v>
      </c>
      <c r="K65" s="310">
        <f t="shared" ref="K65" si="19">SUM(K57:K64)</f>
        <v>-115002</v>
      </c>
      <c r="L65" s="310">
        <f t="shared" ref="L65" si="20">SUM(L57:L64)</f>
        <v>-115002</v>
      </c>
    </row>
    <row r="66" spans="2:12" s="1" customFormat="1" ht="15.75" thickTop="1">
      <c r="B66"/>
      <c r="C66" s="274"/>
      <c r="D66" s="273"/>
      <c r="E66" s="273"/>
      <c r="F66" s="273"/>
      <c r="G66" s="283"/>
      <c r="H66" s="283"/>
      <c r="I66" s="283"/>
      <c r="J66" s="308"/>
      <c r="K66" s="308"/>
      <c r="L66" s="308"/>
    </row>
    <row r="67" spans="2:12" s="1" customFormat="1">
      <c r="B67"/>
      <c r="C67" s="274"/>
      <c r="D67" s="273"/>
      <c r="E67" s="273"/>
      <c r="F67" s="273"/>
      <c r="G67" s="273"/>
      <c r="H67" s="273"/>
      <c r="I67" s="273"/>
      <c r="J67" s="308"/>
      <c r="K67" s="308"/>
      <c r="L67" s="308"/>
    </row>
    <row r="68" spans="2:12" s="1" customFormat="1">
      <c r="B68"/>
      <c r="C68" s="272" t="s">
        <v>215</v>
      </c>
      <c r="D68" s="273"/>
      <c r="E68" s="273"/>
      <c r="F68" s="273"/>
      <c r="G68" s="273"/>
      <c r="H68" s="273"/>
      <c r="I68" s="273"/>
      <c r="J68" s="308"/>
      <c r="K68" s="308"/>
      <c r="L68" s="308"/>
    </row>
    <row r="69" spans="2:12" s="1" customFormat="1">
      <c r="B69"/>
      <c r="C69" s="279" t="s">
        <v>155</v>
      </c>
      <c r="D69" s="273"/>
      <c r="E69" s="273"/>
      <c r="F69" s="273"/>
      <c r="G69" s="275">
        <v>-60845</v>
      </c>
      <c r="H69" s="275">
        <v>-60845</v>
      </c>
      <c r="I69" s="275">
        <v>-60845</v>
      </c>
      <c r="J69" s="309">
        <f t="shared" ref="J69:L69" si="21">I77</f>
        <v>-60845</v>
      </c>
      <c r="K69" s="309">
        <f t="shared" si="21"/>
        <v>-60845</v>
      </c>
      <c r="L69" s="309">
        <f t="shared" si="21"/>
        <v>-60845</v>
      </c>
    </row>
    <row r="70" spans="2:12" s="1" customFormat="1">
      <c r="B70"/>
      <c r="C70" s="276" t="s">
        <v>4</v>
      </c>
      <c r="D70" s="273"/>
      <c r="E70" s="273"/>
      <c r="F70" s="273"/>
      <c r="G70" s="277" t="s">
        <v>27</v>
      </c>
      <c r="H70" s="277" t="s">
        <v>27</v>
      </c>
      <c r="I70" s="277" t="s">
        <v>27</v>
      </c>
      <c r="J70" s="308"/>
      <c r="K70" s="308"/>
      <c r="L70" s="308"/>
    </row>
    <row r="71" spans="2:12" s="1" customFormat="1">
      <c r="B71"/>
      <c r="C71" s="276" t="s">
        <v>204</v>
      </c>
      <c r="D71" s="273"/>
      <c r="E71" s="273"/>
      <c r="F71" s="273"/>
      <c r="G71" s="277" t="s">
        <v>27</v>
      </c>
      <c r="H71" s="277" t="s">
        <v>27</v>
      </c>
      <c r="I71" s="277" t="s">
        <v>27</v>
      </c>
      <c r="J71" s="308"/>
      <c r="K71" s="308"/>
      <c r="L71" s="308"/>
    </row>
    <row r="72" spans="2:12" s="1" customFormat="1">
      <c r="B72"/>
      <c r="C72" s="276" t="s">
        <v>205</v>
      </c>
      <c r="D72" s="273"/>
      <c r="E72" s="273"/>
      <c r="F72" s="273"/>
      <c r="G72" s="277"/>
      <c r="H72" s="277"/>
      <c r="I72" s="277"/>
      <c r="J72" s="308"/>
      <c r="K72" s="308"/>
      <c r="L72" s="308"/>
    </row>
    <row r="73" spans="2:12" s="1" customFormat="1">
      <c r="B73"/>
      <c r="C73" s="278" t="s">
        <v>206</v>
      </c>
      <c r="D73" s="273"/>
      <c r="E73" s="273"/>
      <c r="F73" s="273"/>
      <c r="G73" s="277" t="s">
        <v>27</v>
      </c>
      <c r="H73" s="277" t="s">
        <v>27</v>
      </c>
      <c r="I73" s="277" t="s">
        <v>27</v>
      </c>
      <c r="J73" s="308"/>
      <c r="K73" s="308"/>
      <c r="L73" s="308"/>
    </row>
    <row r="74" spans="2:12" s="1" customFormat="1">
      <c r="B74"/>
      <c r="C74" s="278" t="s">
        <v>207</v>
      </c>
      <c r="D74" s="273"/>
      <c r="E74" s="273"/>
      <c r="F74" s="273"/>
      <c r="G74" s="277" t="s">
        <v>27</v>
      </c>
      <c r="H74" s="277" t="s">
        <v>27</v>
      </c>
      <c r="I74" s="277" t="s">
        <v>27</v>
      </c>
      <c r="J74" s="308"/>
      <c r="K74" s="308"/>
      <c r="L74" s="308"/>
    </row>
    <row r="75" spans="2:12" s="1" customFormat="1">
      <c r="B75"/>
      <c r="C75" s="276" t="s">
        <v>212</v>
      </c>
      <c r="D75" s="273"/>
      <c r="E75" s="273"/>
      <c r="F75" s="273"/>
      <c r="G75" s="277" t="s">
        <v>27</v>
      </c>
      <c r="H75" s="277" t="s">
        <v>27</v>
      </c>
      <c r="I75" s="277" t="s">
        <v>27</v>
      </c>
      <c r="J75" s="308"/>
      <c r="K75" s="308"/>
      <c r="L75" s="308"/>
    </row>
    <row r="76" spans="2:12" s="1" customFormat="1">
      <c r="B76"/>
      <c r="C76" s="276" t="s">
        <v>209</v>
      </c>
      <c r="D76" s="273"/>
      <c r="E76" s="273"/>
      <c r="F76" s="273"/>
      <c r="G76" s="273"/>
      <c r="H76" s="273"/>
      <c r="I76" s="277" t="s">
        <v>27</v>
      </c>
      <c r="J76" s="308"/>
      <c r="K76" s="308"/>
      <c r="L76" s="308"/>
    </row>
    <row r="77" spans="2:12" s="1" customFormat="1" ht="15.75" thickBot="1">
      <c r="B77"/>
      <c r="C77" s="274" t="s">
        <v>153</v>
      </c>
      <c r="D77" s="273"/>
      <c r="E77" s="273"/>
      <c r="F77" s="273"/>
      <c r="G77" s="280">
        <v>-60845</v>
      </c>
      <c r="H77" s="280">
        <v>-60845</v>
      </c>
      <c r="I77" s="280">
        <v>-60845</v>
      </c>
      <c r="J77" s="310">
        <f t="shared" ref="J77" si="22">SUM(J69:J76)</f>
        <v>-60845</v>
      </c>
      <c r="K77" s="310">
        <f t="shared" ref="K77" si="23">SUM(K69:K76)</f>
        <v>-60845</v>
      </c>
      <c r="L77" s="310">
        <f t="shared" ref="L77" si="24">SUM(L69:L76)</f>
        <v>-60845</v>
      </c>
    </row>
    <row r="78" spans="2:12" s="1" customFormat="1" ht="15.75" thickTop="1">
      <c r="B78"/>
      <c r="C78" s="274"/>
      <c r="D78" s="273"/>
      <c r="E78" s="273"/>
      <c r="F78" s="273"/>
      <c r="G78" s="283"/>
      <c r="H78" s="283"/>
      <c r="I78" s="283"/>
      <c r="J78" s="308"/>
      <c r="K78" s="308"/>
      <c r="L78" s="308"/>
    </row>
    <row r="79" spans="2:12" s="1" customFormat="1">
      <c r="B79"/>
      <c r="C79" s="274"/>
      <c r="D79" s="273"/>
      <c r="E79" s="273"/>
      <c r="F79" s="273"/>
      <c r="G79" s="273"/>
      <c r="H79" s="273"/>
      <c r="I79" s="273"/>
      <c r="J79" s="308"/>
      <c r="K79" s="308"/>
      <c r="L79" s="308"/>
    </row>
    <row r="80" spans="2:12" s="1" customFormat="1">
      <c r="B80"/>
      <c r="C80" s="272" t="s">
        <v>216</v>
      </c>
      <c r="D80" s="273"/>
      <c r="E80" s="273"/>
      <c r="F80" s="273"/>
      <c r="G80" s="273"/>
      <c r="H80" s="273"/>
      <c r="I80" s="273"/>
      <c r="J80" s="308"/>
      <c r="K80" s="308"/>
      <c r="L80" s="308"/>
    </row>
    <row r="81" spans="2:12" s="1" customFormat="1">
      <c r="B81"/>
      <c r="C81" s="279" t="s">
        <v>155</v>
      </c>
      <c r="D81" s="273"/>
      <c r="E81" s="273"/>
      <c r="F81" s="273"/>
      <c r="G81" s="283">
        <v>-409</v>
      </c>
      <c r="H81" s="283">
        <v>-409</v>
      </c>
      <c r="I81" s="283">
        <v>-409</v>
      </c>
      <c r="J81" s="309">
        <f t="shared" ref="J81:L81" si="25">I89</f>
        <v>-409</v>
      </c>
      <c r="K81" s="309">
        <f t="shared" si="25"/>
        <v>-409</v>
      </c>
      <c r="L81" s="309">
        <f t="shared" si="25"/>
        <v>-409</v>
      </c>
    </row>
    <row r="82" spans="2:12" s="1" customFormat="1">
      <c r="B82"/>
      <c r="C82" s="276" t="s">
        <v>4</v>
      </c>
      <c r="D82" s="273"/>
      <c r="E82" s="273"/>
      <c r="F82" s="273"/>
      <c r="G82" s="277" t="s">
        <v>27</v>
      </c>
      <c r="H82" s="277" t="s">
        <v>27</v>
      </c>
      <c r="I82" s="277" t="s">
        <v>27</v>
      </c>
      <c r="J82" s="308"/>
      <c r="K82" s="308"/>
      <c r="L82" s="308"/>
    </row>
    <row r="83" spans="2:12" s="1" customFormat="1">
      <c r="B83"/>
      <c r="C83" s="276" t="s">
        <v>204</v>
      </c>
      <c r="D83" s="273"/>
      <c r="E83" s="273"/>
      <c r="F83" s="273"/>
      <c r="G83" s="277" t="s">
        <v>27</v>
      </c>
      <c r="H83" s="277" t="s">
        <v>27</v>
      </c>
      <c r="I83" s="277" t="s">
        <v>27</v>
      </c>
      <c r="J83" s="308"/>
      <c r="K83" s="308"/>
      <c r="L83" s="308"/>
    </row>
    <row r="84" spans="2:12" s="1" customFormat="1">
      <c r="B84"/>
      <c r="C84" s="276" t="s">
        <v>205</v>
      </c>
      <c r="D84" s="273"/>
      <c r="E84" s="273"/>
      <c r="F84" s="273"/>
      <c r="G84" s="277"/>
      <c r="H84" s="277"/>
      <c r="I84" s="277"/>
      <c r="J84" s="308"/>
      <c r="K84" s="308"/>
      <c r="L84" s="308"/>
    </row>
    <row r="85" spans="2:12" s="1" customFormat="1">
      <c r="B85"/>
      <c r="C85" s="278" t="s">
        <v>206</v>
      </c>
      <c r="D85" s="273"/>
      <c r="E85" s="273"/>
      <c r="F85" s="273"/>
      <c r="G85" s="277" t="s">
        <v>27</v>
      </c>
      <c r="H85" s="277" t="s">
        <v>27</v>
      </c>
      <c r="I85" s="277" t="s">
        <v>27</v>
      </c>
      <c r="J85" s="308"/>
      <c r="K85" s="308"/>
      <c r="L85" s="308"/>
    </row>
    <row r="86" spans="2:12" s="1" customFormat="1">
      <c r="B86"/>
      <c r="C86" s="278" t="s">
        <v>207</v>
      </c>
      <c r="D86" s="273"/>
      <c r="E86" s="273"/>
      <c r="F86" s="273"/>
      <c r="G86" s="277" t="s">
        <v>27</v>
      </c>
      <c r="H86" s="277" t="s">
        <v>27</v>
      </c>
      <c r="I86" s="277" t="s">
        <v>27</v>
      </c>
      <c r="J86" s="308"/>
      <c r="K86" s="308"/>
      <c r="L86" s="308"/>
    </row>
    <row r="87" spans="2:12" s="1" customFormat="1">
      <c r="B87"/>
      <c r="C87" s="276" t="s">
        <v>212</v>
      </c>
      <c r="D87" s="273"/>
      <c r="E87" s="273"/>
      <c r="F87" s="273"/>
      <c r="G87" s="277" t="s">
        <v>27</v>
      </c>
      <c r="H87" s="277" t="s">
        <v>27</v>
      </c>
      <c r="I87" s="277" t="s">
        <v>27</v>
      </c>
      <c r="J87" s="308"/>
      <c r="K87" s="308"/>
      <c r="L87" s="308"/>
    </row>
    <row r="88" spans="2:12" s="1" customFormat="1">
      <c r="B88"/>
      <c r="C88" s="276" t="s">
        <v>209</v>
      </c>
      <c r="D88" s="273"/>
      <c r="E88" s="273"/>
      <c r="F88" s="273"/>
      <c r="G88" s="273"/>
      <c r="H88" s="273"/>
      <c r="I88" s="277" t="s">
        <v>27</v>
      </c>
      <c r="J88" s="308"/>
      <c r="K88" s="308"/>
      <c r="L88" s="308"/>
    </row>
    <row r="89" spans="2:12" s="1" customFormat="1" ht="15.75" thickBot="1">
      <c r="B89"/>
      <c r="C89" s="274" t="s">
        <v>153</v>
      </c>
      <c r="D89" s="273"/>
      <c r="E89" s="273"/>
      <c r="F89" s="273"/>
      <c r="G89" s="284">
        <v>-409</v>
      </c>
      <c r="H89" s="284">
        <v>-409</v>
      </c>
      <c r="I89" s="284">
        <v>-409</v>
      </c>
      <c r="J89" s="310">
        <f t="shared" ref="J89" si="26">SUM(J81:J88)</f>
        <v>-409</v>
      </c>
      <c r="K89" s="310">
        <f t="shared" ref="K89" si="27">SUM(K81:K88)</f>
        <v>-409</v>
      </c>
      <c r="L89" s="310">
        <f t="shared" ref="L89" si="28">SUM(L81:L88)</f>
        <v>-409</v>
      </c>
    </row>
    <row r="90" spans="2:12" s="1" customFormat="1" ht="15.75" thickTop="1">
      <c r="B90"/>
      <c r="C90" s="274"/>
      <c r="D90" s="273"/>
      <c r="E90" s="273"/>
      <c r="F90" s="273"/>
      <c r="G90" s="283"/>
      <c r="H90" s="283"/>
      <c r="I90" s="283"/>
      <c r="J90" s="308"/>
      <c r="K90" s="308"/>
      <c r="L90" s="308"/>
    </row>
    <row r="91" spans="2:12" s="1" customFormat="1" ht="15.75" thickBot="1">
      <c r="B91"/>
      <c r="C91" s="274"/>
      <c r="D91" s="273"/>
      <c r="E91" s="273"/>
      <c r="F91" s="273"/>
      <c r="G91" s="273"/>
      <c r="H91" s="273"/>
      <c r="I91" s="273"/>
      <c r="J91" s="308"/>
      <c r="K91" s="308"/>
      <c r="L91" s="308"/>
    </row>
    <row r="92" spans="2:12" s="1" customFormat="1">
      <c r="B92"/>
      <c r="C92" s="296" t="s">
        <v>217</v>
      </c>
      <c r="D92" s="297"/>
      <c r="E92" s="297"/>
      <c r="F92" s="297"/>
      <c r="G92" s="297"/>
      <c r="H92" s="297"/>
      <c r="I92" s="297"/>
      <c r="J92" s="313"/>
      <c r="K92" s="313"/>
      <c r="L92" s="313"/>
    </row>
    <row r="93" spans="2:12" s="1" customFormat="1">
      <c r="B93"/>
      <c r="C93" s="279" t="s">
        <v>155</v>
      </c>
      <c r="D93" s="273"/>
      <c r="E93" s="273"/>
      <c r="F93" s="273"/>
      <c r="G93" s="275">
        <v>277131</v>
      </c>
      <c r="H93" s="275">
        <v>366702</v>
      </c>
      <c r="I93" s="275">
        <v>358187</v>
      </c>
      <c r="J93" s="309">
        <f t="shared" ref="J93:L93" si="29">I101</f>
        <v>346952</v>
      </c>
      <c r="K93" s="309">
        <f t="shared" si="29"/>
        <v>363674.94999999966</v>
      </c>
      <c r="L93" s="309">
        <f t="shared" si="29"/>
        <v>390870.47849999915</v>
      </c>
    </row>
    <row r="94" spans="2:12" s="1" customFormat="1">
      <c r="B94"/>
      <c r="C94" s="276" t="s">
        <v>4</v>
      </c>
      <c r="D94" s="273"/>
      <c r="E94" s="273"/>
      <c r="F94" s="273"/>
      <c r="G94" s="282">
        <v>96535</v>
      </c>
      <c r="H94" s="282">
        <v>-19930</v>
      </c>
      <c r="I94" s="282">
        <v>11375</v>
      </c>
      <c r="J94" s="311">
        <f t="shared" ref="J94:L94" si="30">SUM(J10,J23,J35,J46,J58,J70,J82)</f>
        <v>21315.949999999648</v>
      </c>
      <c r="K94" s="311">
        <f t="shared" si="30"/>
        <v>31788.528499999506</v>
      </c>
      <c r="L94" s="311">
        <f t="shared" si="30"/>
        <v>33614.2843549994</v>
      </c>
    </row>
    <row r="95" spans="2:12" s="1" customFormat="1">
      <c r="B95"/>
      <c r="C95" s="276" t="s">
        <v>204</v>
      </c>
      <c r="D95" s="273"/>
      <c r="E95" s="273"/>
      <c r="F95" s="273"/>
      <c r="G95" s="282">
        <v>-1305</v>
      </c>
      <c r="H95" s="282">
        <v>16937</v>
      </c>
      <c r="I95" s="282">
        <v>-18017</v>
      </c>
      <c r="J95" s="311">
        <f t="shared" ref="J95:L95" si="31">SUM(J11,J24,J36,J47,J59,J71,J83)</f>
        <v>0</v>
      </c>
      <c r="K95" s="311">
        <f t="shared" si="31"/>
        <v>0</v>
      </c>
      <c r="L95" s="311">
        <f t="shared" si="31"/>
        <v>0</v>
      </c>
    </row>
    <row r="96" spans="2:12" s="1" customFormat="1">
      <c r="B96"/>
      <c r="C96" s="276" t="s">
        <v>205</v>
      </c>
      <c r="D96" s="273"/>
      <c r="E96" s="273"/>
      <c r="F96" s="273"/>
      <c r="G96" s="277"/>
      <c r="H96" s="277"/>
      <c r="I96" s="277"/>
      <c r="J96" s="311">
        <f t="shared" ref="J96:L96" si="32">SUM(J12,J25,J37,J48,J60,J72,J84)</f>
        <v>0</v>
      </c>
      <c r="K96" s="311">
        <f t="shared" si="32"/>
        <v>0</v>
      </c>
      <c r="L96" s="311">
        <f t="shared" si="32"/>
        <v>0</v>
      </c>
    </row>
    <row r="97" spans="2:12" s="1" customFormat="1">
      <c r="B97"/>
      <c r="C97" s="278" t="s">
        <v>206</v>
      </c>
      <c r="D97" s="273"/>
      <c r="E97" s="273"/>
      <c r="F97" s="273"/>
      <c r="G97" s="282">
        <v>-7141</v>
      </c>
      <c r="H97" s="282">
        <v>-7141</v>
      </c>
      <c r="I97" s="282">
        <v>-7141</v>
      </c>
      <c r="J97" s="311">
        <f t="shared" ref="J97:L97" si="33">SUM(J13,J26,J38,J49,J61,J73,J85)</f>
        <v>-7141</v>
      </c>
      <c r="K97" s="311">
        <f t="shared" si="33"/>
        <v>-7141</v>
      </c>
      <c r="L97" s="311">
        <f t="shared" si="33"/>
        <v>-7141</v>
      </c>
    </row>
    <row r="98" spans="2:12" s="1" customFormat="1">
      <c r="B98"/>
      <c r="C98" s="278" t="s">
        <v>207</v>
      </c>
      <c r="D98" s="273"/>
      <c r="E98" s="273"/>
      <c r="F98" s="273"/>
      <c r="G98" s="282">
        <v>-2187</v>
      </c>
      <c r="H98" s="282">
        <v>-2212</v>
      </c>
      <c r="I98" s="282">
        <v>-2228</v>
      </c>
      <c r="J98" s="311">
        <f t="shared" ref="J98:L98" si="34">SUM(J14,J27,J39,J50,J62,J74,J86)</f>
        <v>-2207</v>
      </c>
      <c r="K98" s="311">
        <f t="shared" si="34"/>
        <v>-2207</v>
      </c>
      <c r="L98" s="311">
        <f t="shared" si="34"/>
        <v>-2207</v>
      </c>
    </row>
    <row r="99" spans="2:12" s="1" customFormat="1">
      <c r="B99"/>
      <c r="C99" s="276" t="s">
        <v>212</v>
      </c>
      <c r="D99" s="273"/>
      <c r="E99" s="273"/>
      <c r="F99" s="273"/>
      <c r="G99" s="282">
        <v>3669</v>
      </c>
      <c r="H99" s="282">
        <v>3831</v>
      </c>
      <c r="I99" s="282">
        <v>4776</v>
      </c>
      <c r="J99" s="311">
        <f t="shared" ref="J99:L99" si="35">SUM(J15,J28,J40,J51,J63,J75,J87)</f>
        <v>4755</v>
      </c>
      <c r="K99" s="311">
        <f t="shared" si="35"/>
        <v>4755</v>
      </c>
      <c r="L99" s="311">
        <f t="shared" si="35"/>
        <v>4755</v>
      </c>
    </row>
    <row r="100" spans="2:12" s="1" customFormat="1" ht="15.75" thickBot="1">
      <c r="B100"/>
      <c r="C100" s="276" t="s">
        <v>209</v>
      </c>
      <c r="D100" s="273"/>
      <c r="E100" s="273"/>
      <c r="F100" s="273"/>
      <c r="G100" s="273"/>
      <c r="H100" s="273"/>
      <c r="I100" s="277" t="s">
        <v>27</v>
      </c>
      <c r="J100" s="311">
        <f t="shared" ref="J100:L100" si="36">SUM(J16,J29,J41,J52,J64,J76,J88)</f>
        <v>0</v>
      </c>
      <c r="K100" s="311">
        <f t="shared" si="36"/>
        <v>0</v>
      </c>
      <c r="L100" s="311">
        <f t="shared" si="36"/>
        <v>0</v>
      </c>
    </row>
    <row r="101" spans="2:12" s="1" customFormat="1" ht="15.75" thickBot="1">
      <c r="B101"/>
      <c r="C101" s="300" t="s">
        <v>153</v>
      </c>
      <c r="D101" s="301"/>
      <c r="E101" s="301"/>
      <c r="F101" s="301"/>
      <c r="G101" s="302">
        <v>366702</v>
      </c>
      <c r="H101" s="302">
        <v>358187</v>
      </c>
      <c r="I101" s="302">
        <v>346952</v>
      </c>
      <c r="J101" s="314">
        <f t="shared" ref="J101" si="37">SUM(J93:J100)</f>
        <v>363674.94999999966</v>
      </c>
      <c r="K101" s="314">
        <f t="shared" ref="K101" si="38">SUM(K93:K100)</f>
        <v>390870.47849999915</v>
      </c>
      <c r="L101" s="315">
        <f t="shared" ref="L101" si="39">SUM(L93:L100)</f>
        <v>419891.76285499858</v>
      </c>
    </row>
    <row r="102" spans="2:12" s="1" customFormat="1">
      <c r="B102"/>
      <c r="C102" s="298"/>
      <c r="D102" s="297"/>
      <c r="E102" s="297"/>
      <c r="F102" s="297"/>
      <c r="G102" s="299"/>
      <c r="H102" s="299"/>
      <c r="I102" s="299"/>
      <c r="J102" s="313"/>
      <c r="K102" s="313"/>
      <c r="L102" s="313"/>
    </row>
    <row r="103" spans="2:12" s="1" customFormat="1">
      <c r="B103"/>
      <c r="C103" s="274"/>
      <c r="D103" s="273"/>
      <c r="E103" s="273"/>
      <c r="F103" s="273"/>
      <c r="G103" s="273"/>
      <c r="H103" s="273"/>
      <c r="I103" s="273"/>
      <c r="J103" s="308"/>
      <c r="K103" s="308"/>
      <c r="L103" s="308"/>
    </row>
    <row r="104" spans="2:12" s="1" customFormat="1">
      <c r="B104"/>
      <c r="C104" s="303" t="s">
        <v>218</v>
      </c>
      <c r="D104" s="273"/>
      <c r="E104" s="273"/>
      <c r="F104" s="273"/>
      <c r="G104" s="273"/>
      <c r="H104" s="273"/>
      <c r="I104" s="273"/>
      <c r="J104" s="308"/>
      <c r="K104" s="308"/>
      <c r="L104" s="308"/>
    </row>
    <row r="105" spans="2:12" s="1" customFormat="1">
      <c r="B105"/>
      <c r="C105" s="279" t="s">
        <v>219</v>
      </c>
      <c r="D105" s="273"/>
      <c r="E105" s="273"/>
      <c r="F105" s="273"/>
      <c r="G105" s="275">
        <v>85893</v>
      </c>
      <c r="H105" s="275">
        <v>92205</v>
      </c>
      <c r="I105" s="275">
        <v>96979</v>
      </c>
      <c r="J105" s="309">
        <f t="shared" ref="J105:L105" si="40">I113</f>
        <v>104164</v>
      </c>
      <c r="K105" s="309">
        <f t="shared" si="40"/>
        <v>111564.55</v>
      </c>
      <c r="L105" s="309">
        <f t="shared" si="40"/>
        <v>119187.1165</v>
      </c>
    </row>
    <row r="106" spans="2:12" s="1" customFormat="1">
      <c r="B106"/>
      <c r="C106" s="276" t="s">
        <v>4</v>
      </c>
      <c r="D106" s="273"/>
      <c r="E106" s="273"/>
      <c r="F106" s="273"/>
      <c r="G106" s="282">
        <v>6312</v>
      </c>
      <c r="H106" s="282">
        <v>4774</v>
      </c>
      <c r="I106" s="282">
        <v>7185</v>
      </c>
      <c r="J106" s="253">
        <f>'Income Statement'!J19</f>
        <v>7400.55</v>
      </c>
      <c r="K106" s="311">
        <f>'Income Statement'!K19</f>
        <v>7622.5665000000008</v>
      </c>
      <c r="L106" s="311">
        <f>'Income Statement'!L19</f>
        <v>7851.2434950000006</v>
      </c>
    </row>
    <row r="107" spans="2:12" s="1" customFormat="1">
      <c r="B107"/>
      <c r="C107" s="276" t="s">
        <v>204</v>
      </c>
      <c r="D107" s="273"/>
      <c r="E107" s="273"/>
      <c r="F107" s="273"/>
      <c r="G107" s="277" t="s">
        <v>27</v>
      </c>
      <c r="H107" s="277" t="s">
        <v>27</v>
      </c>
      <c r="I107" s="277" t="s">
        <v>27</v>
      </c>
      <c r="J107" s="308"/>
      <c r="K107" s="308"/>
      <c r="L107" s="308"/>
    </row>
    <row r="108" spans="2:12" s="1" customFormat="1">
      <c r="B108"/>
      <c r="C108" s="276" t="s">
        <v>205</v>
      </c>
      <c r="D108" s="273"/>
      <c r="E108" s="273"/>
      <c r="F108" s="273"/>
      <c r="G108" s="277"/>
      <c r="H108" s="277"/>
      <c r="I108" s="277"/>
      <c r="J108" s="308"/>
      <c r="K108" s="308"/>
      <c r="L108" s="308"/>
    </row>
    <row r="109" spans="2:12" s="1" customFormat="1">
      <c r="B109"/>
      <c r="C109" s="278" t="s">
        <v>206</v>
      </c>
      <c r="D109" s="273"/>
      <c r="E109" s="273"/>
      <c r="F109" s="273"/>
      <c r="G109" s="277" t="s">
        <v>27</v>
      </c>
      <c r="H109" s="277" t="s">
        <v>27</v>
      </c>
      <c r="I109" s="277" t="s">
        <v>27</v>
      </c>
      <c r="J109" s="308"/>
      <c r="K109" s="308"/>
      <c r="L109" s="308"/>
    </row>
    <row r="110" spans="2:12" s="1" customFormat="1">
      <c r="B110"/>
      <c r="C110" s="278" t="s">
        <v>207</v>
      </c>
      <c r="D110" s="273"/>
      <c r="E110" s="273"/>
      <c r="F110" s="273"/>
      <c r="G110" s="277" t="s">
        <v>27</v>
      </c>
      <c r="H110" s="277" t="s">
        <v>27</v>
      </c>
      <c r="I110" s="277" t="s">
        <v>27</v>
      </c>
      <c r="J110" s="308"/>
      <c r="K110" s="308"/>
      <c r="L110" s="308"/>
    </row>
    <row r="111" spans="2:12" s="1" customFormat="1">
      <c r="B111"/>
      <c r="C111" s="276" t="s">
        <v>212</v>
      </c>
      <c r="D111" s="273"/>
      <c r="E111" s="273"/>
      <c r="F111" s="273"/>
      <c r="G111" s="277" t="s">
        <v>27</v>
      </c>
      <c r="H111" s="277" t="s">
        <v>27</v>
      </c>
      <c r="I111" s="277" t="s">
        <v>27</v>
      </c>
      <c r="J111" s="308"/>
      <c r="K111" s="308"/>
      <c r="L111" s="308"/>
    </row>
    <row r="112" spans="2:12" s="1" customFormat="1">
      <c r="B112"/>
      <c r="C112" s="276" t="s">
        <v>209</v>
      </c>
      <c r="D112" s="273"/>
      <c r="E112" s="273"/>
      <c r="F112" s="273"/>
      <c r="G112" s="273"/>
      <c r="H112" s="273"/>
      <c r="I112" s="277" t="s">
        <v>27</v>
      </c>
      <c r="J112" s="308"/>
      <c r="K112" s="308"/>
      <c r="L112" s="308"/>
    </row>
    <row r="113" spans="2:12" s="1" customFormat="1" ht="15.75" thickBot="1">
      <c r="B113"/>
      <c r="C113" s="274" t="s">
        <v>153</v>
      </c>
      <c r="D113" s="273"/>
      <c r="E113" s="273"/>
      <c r="F113" s="273"/>
      <c r="G113" s="280">
        <v>92205</v>
      </c>
      <c r="H113" s="280">
        <v>96979</v>
      </c>
      <c r="I113" s="280">
        <v>104164</v>
      </c>
      <c r="J113" s="310">
        <f t="shared" ref="J113" si="41">SUM(J105:J112)</f>
        <v>111564.55</v>
      </c>
      <c r="K113" s="310">
        <f t="shared" ref="K113" si="42">SUM(K105:K112)</f>
        <v>119187.1165</v>
      </c>
      <c r="L113" s="310">
        <f t="shared" ref="L113" si="43">SUM(L105:L112)</f>
        <v>127038.35999500001</v>
      </c>
    </row>
    <row r="114" spans="2:12" s="1" customFormat="1" ht="15.75" thickTop="1">
      <c r="B114"/>
      <c r="C114" s="274"/>
      <c r="D114" s="273"/>
      <c r="E114" s="273"/>
      <c r="F114" s="273"/>
      <c r="G114" s="275"/>
      <c r="H114" s="275"/>
      <c r="I114" s="275"/>
      <c r="J114" s="308"/>
      <c r="K114" s="308"/>
      <c r="L114" s="308"/>
    </row>
    <row r="115" spans="2:12" s="1" customFormat="1" ht="15.75" thickBot="1">
      <c r="B115"/>
      <c r="C115" s="274"/>
      <c r="D115" s="273"/>
      <c r="E115" s="273"/>
      <c r="F115" s="273"/>
      <c r="G115" s="273"/>
      <c r="H115" s="273"/>
      <c r="I115" s="273"/>
      <c r="J115" s="308"/>
      <c r="K115" s="308"/>
      <c r="L115" s="308"/>
    </row>
    <row r="116" spans="2:12" s="1" customFormat="1">
      <c r="B116"/>
      <c r="C116" s="304" t="s">
        <v>220</v>
      </c>
      <c r="D116" s="297"/>
      <c r="E116" s="297"/>
      <c r="F116" s="297"/>
      <c r="G116" s="297"/>
      <c r="H116" s="297"/>
      <c r="I116" s="297"/>
      <c r="J116" s="313"/>
      <c r="K116" s="313"/>
      <c r="L116" s="316"/>
    </row>
    <row r="117" spans="2:12" s="1" customFormat="1">
      <c r="B117"/>
      <c r="C117" s="305" t="s">
        <v>211</v>
      </c>
      <c r="D117" s="273"/>
      <c r="E117" s="273"/>
      <c r="F117" s="273"/>
      <c r="G117" s="275">
        <v>363024</v>
      </c>
      <c r="H117" s="275">
        <v>458907</v>
      </c>
      <c r="I117" s="275">
        <v>455166</v>
      </c>
      <c r="J117" s="317">
        <f t="shared" ref="J117:L117" si="44">I125</f>
        <v>451116</v>
      </c>
      <c r="K117" s="317">
        <f t="shared" si="44"/>
        <v>475239.49999999965</v>
      </c>
      <c r="L117" s="318">
        <f t="shared" si="44"/>
        <v>510057.59499999916</v>
      </c>
    </row>
    <row r="118" spans="2:12" s="1" customFormat="1">
      <c r="B118"/>
      <c r="C118" s="306" t="s">
        <v>4</v>
      </c>
      <c r="D118" s="273"/>
      <c r="E118" s="273"/>
      <c r="F118" s="273"/>
      <c r="G118" s="282">
        <v>102847</v>
      </c>
      <c r="H118" s="282">
        <v>-15156</v>
      </c>
      <c r="I118" s="282">
        <v>18560</v>
      </c>
      <c r="J118" s="319">
        <f t="shared" ref="J118:L118" si="45">SUM(J94,J106)</f>
        <v>28716.499999999647</v>
      </c>
      <c r="K118" s="319">
        <f t="shared" si="45"/>
        <v>39411.094999999506</v>
      </c>
      <c r="L118" s="320">
        <f t="shared" si="45"/>
        <v>41465.527849999402</v>
      </c>
    </row>
    <row r="119" spans="2:12" s="1" customFormat="1">
      <c r="B119"/>
      <c r="C119" s="306" t="s">
        <v>204</v>
      </c>
      <c r="D119" s="273"/>
      <c r="E119" s="273"/>
      <c r="F119" s="273"/>
      <c r="G119" s="282">
        <v>-1305</v>
      </c>
      <c r="H119" s="282">
        <v>16937</v>
      </c>
      <c r="I119" s="282">
        <v>-18017</v>
      </c>
      <c r="J119" s="319">
        <f t="shared" ref="J119:L119" si="46">SUM(J95,J107)</f>
        <v>0</v>
      </c>
      <c r="K119" s="319">
        <f t="shared" si="46"/>
        <v>0</v>
      </c>
      <c r="L119" s="320">
        <f t="shared" si="46"/>
        <v>0</v>
      </c>
    </row>
    <row r="120" spans="2:12" s="1" customFormat="1">
      <c r="B120"/>
      <c r="C120" s="306" t="s">
        <v>205</v>
      </c>
      <c r="D120" s="273"/>
      <c r="E120" s="273"/>
      <c r="F120" s="273"/>
      <c r="G120" s="277"/>
      <c r="H120" s="277"/>
      <c r="I120" s="277"/>
      <c r="J120" s="319">
        <f t="shared" ref="J120:L120" si="47">SUM(J96,J108)</f>
        <v>0</v>
      </c>
      <c r="K120" s="319">
        <f t="shared" si="47"/>
        <v>0</v>
      </c>
      <c r="L120" s="320">
        <f t="shared" si="47"/>
        <v>0</v>
      </c>
    </row>
    <row r="121" spans="2:12" s="1" customFormat="1">
      <c r="B121"/>
      <c r="C121" s="307" t="s">
        <v>206</v>
      </c>
      <c r="D121" s="273"/>
      <c r="E121" s="273"/>
      <c r="F121" s="273"/>
      <c r="G121" s="282">
        <v>-7141</v>
      </c>
      <c r="H121" s="282">
        <v>-7141</v>
      </c>
      <c r="I121" s="282">
        <v>-7141</v>
      </c>
      <c r="J121" s="319">
        <f t="shared" ref="J121:L121" si="48">SUM(J97,J109)</f>
        <v>-7141</v>
      </c>
      <c r="K121" s="319">
        <f t="shared" si="48"/>
        <v>-7141</v>
      </c>
      <c r="L121" s="320">
        <f t="shared" si="48"/>
        <v>-7141</v>
      </c>
    </row>
    <row r="122" spans="2:12" s="1" customFormat="1">
      <c r="B122"/>
      <c r="C122" s="307" t="s">
        <v>207</v>
      </c>
      <c r="D122" s="273"/>
      <c r="E122" s="273"/>
      <c r="F122" s="273"/>
      <c r="G122" s="282">
        <v>-2187</v>
      </c>
      <c r="H122" s="282">
        <v>-2212</v>
      </c>
      <c r="I122" s="282">
        <v>-2228</v>
      </c>
      <c r="J122" s="319">
        <f t="shared" ref="J122:L122" si="49">SUM(J98,J110)</f>
        <v>-2207</v>
      </c>
      <c r="K122" s="319">
        <f t="shared" si="49"/>
        <v>-2207</v>
      </c>
      <c r="L122" s="320">
        <f t="shared" si="49"/>
        <v>-2207</v>
      </c>
    </row>
    <row r="123" spans="2:12" s="1" customFormat="1">
      <c r="B123"/>
      <c r="C123" s="306" t="s">
        <v>208</v>
      </c>
      <c r="D123" s="273"/>
      <c r="E123" s="273"/>
      <c r="F123" s="273"/>
      <c r="G123" s="282">
        <v>3669</v>
      </c>
      <c r="H123" s="282">
        <v>3831</v>
      </c>
      <c r="I123" s="282">
        <v>4776</v>
      </c>
      <c r="J123" s="319">
        <f t="shared" ref="J123:L123" si="50">SUM(J99,J111)</f>
        <v>4755</v>
      </c>
      <c r="K123" s="319">
        <f t="shared" si="50"/>
        <v>4755</v>
      </c>
      <c r="L123" s="320">
        <f t="shared" si="50"/>
        <v>4755</v>
      </c>
    </row>
    <row r="124" spans="2:12" s="1" customFormat="1" ht="15.75" thickBot="1">
      <c r="B124"/>
      <c r="C124" s="306" t="s">
        <v>209</v>
      </c>
      <c r="D124" s="273"/>
      <c r="E124" s="273"/>
      <c r="F124" s="273"/>
      <c r="G124" s="273"/>
      <c r="H124" s="273"/>
      <c r="I124" s="277" t="s">
        <v>27</v>
      </c>
      <c r="J124" s="319">
        <f t="shared" ref="J124:L124" si="51">SUM(J100,J112)</f>
        <v>0</v>
      </c>
      <c r="K124" s="319">
        <f t="shared" si="51"/>
        <v>0</v>
      </c>
      <c r="L124" s="320">
        <f t="shared" si="51"/>
        <v>0</v>
      </c>
    </row>
    <row r="125" spans="2:12" s="1" customFormat="1" ht="15.75" thickBot="1">
      <c r="B125"/>
      <c r="C125" s="300" t="s">
        <v>153</v>
      </c>
      <c r="D125" s="301"/>
      <c r="E125" s="301"/>
      <c r="F125" s="301"/>
      <c r="G125" s="302">
        <v>458907</v>
      </c>
      <c r="H125" s="302">
        <v>455166</v>
      </c>
      <c r="I125" s="302">
        <v>451116</v>
      </c>
      <c r="J125" s="314">
        <f t="shared" ref="J125" si="52">SUM(J117:J124)</f>
        <v>475239.49999999965</v>
      </c>
      <c r="K125" s="314">
        <f t="shared" ref="K125" si="53">SUM(K117:K124)</f>
        <v>510057.59499999916</v>
      </c>
      <c r="L125" s="315">
        <f t="shared" ref="L125" si="54">SUM(L117:L124)</f>
        <v>546930.12284999853</v>
      </c>
    </row>
    <row r="126" spans="2:12" s="1" customFormat="1">
      <c r="B126"/>
      <c r="C126"/>
      <c r="D126" s="273"/>
      <c r="E126" s="273"/>
      <c r="F126" s="273"/>
      <c r="G126"/>
      <c r="H126"/>
      <c r="I126"/>
      <c r="J126" s="308"/>
      <c r="K126" s="308"/>
      <c r="L126" s="308"/>
    </row>
    <row r="127" spans="2:12" s="1" customFormat="1">
      <c r="B127"/>
      <c r="C127"/>
      <c r="D127" s="273"/>
      <c r="E127" s="273"/>
      <c r="F127" s="273"/>
      <c r="G127"/>
      <c r="H127"/>
      <c r="I127"/>
      <c r="J127" s="308"/>
      <c r="K127" s="308"/>
      <c r="L127" s="308"/>
    </row>
    <row r="128" spans="2:12" s="1" customFormat="1">
      <c r="B128"/>
      <c r="C128"/>
      <c r="D128" s="273"/>
      <c r="E128" s="273"/>
      <c r="F128" s="273"/>
      <c r="G128"/>
      <c r="H128"/>
      <c r="I128"/>
      <c r="J128" s="308"/>
      <c r="K128" s="308"/>
      <c r="L128" s="308"/>
    </row>
    <row r="129" spans="2:12" s="1" customFormat="1">
      <c r="B129"/>
      <c r="C129"/>
      <c r="D129" s="273"/>
      <c r="E129" s="273"/>
      <c r="F129" s="273"/>
      <c r="G129"/>
      <c r="H129"/>
      <c r="I129"/>
      <c r="J129" s="308"/>
      <c r="K129" s="308"/>
      <c r="L129" s="308"/>
    </row>
    <row r="130" spans="2:12" s="1" customFormat="1">
      <c r="B130"/>
      <c r="C130"/>
      <c r="D130" s="273"/>
      <c r="E130" s="273"/>
      <c r="F130" s="273"/>
      <c r="G130"/>
      <c r="H130"/>
      <c r="I130"/>
      <c r="J130" s="308"/>
      <c r="K130" s="308"/>
      <c r="L130" s="308"/>
    </row>
    <row r="131" spans="2:12" s="1" customFormat="1">
      <c r="B131"/>
      <c r="C131"/>
      <c r="D131" s="273"/>
      <c r="E131" s="273"/>
      <c r="F131" s="273"/>
      <c r="G131"/>
      <c r="H131"/>
      <c r="I131"/>
      <c r="J131" s="308"/>
      <c r="K131" s="308"/>
      <c r="L131" s="308"/>
    </row>
    <row r="132" spans="2:12" s="1" customFormat="1">
      <c r="B132"/>
      <c r="C132"/>
      <c r="D132" s="273"/>
      <c r="E132" s="273"/>
      <c r="F132" s="273"/>
      <c r="G132"/>
      <c r="H132"/>
      <c r="I132"/>
      <c r="J132" s="308"/>
      <c r="K132" s="308"/>
      <c r="L132" s="308"/>
    </row>
    <row r="133" spans="2:12" s="1" customFormat="1">
      <c r="B133"/>
      <c r="C133"/>
      <c r="D133" s="273"/>
      <c r="E133" s="273"/>
      <c r="F133" s="273"/>
      <c r="G133"/>
      <c r="H133"/>
      <c r="I133"/>
      <c r="J133" s="308"/>
      <c r="K133" s="308"/>
      <c r="L133" s="308"/>
    </row>
    <row r="134" spans="2:12" s="1" customFormat="1">
      <c r="B134"/>
      <c r="C134"/>
      <c r="D134" s="273"/>
      <c r="E134" s="273"/>
      <c r="F134" s="273"/>
      <c r="G134"/>
      <c r="H134"/>
      <c r="I134"/>
      <c r="J134" s="308"/>
      <c r="K134" s="308"/>
      <c r="L134" s="308"/>
    </row>
    <row r="135" spans="2:12" s="1" customFormat="1">
      <c r="B135"/>
      <c r="C135"/>
      <c r="D135" s="273"/>
      <c r="E135" s="273"/>
      <c r="F135" s="273"/>
      <c r="G135"/>
      <c r="H135"/>
      <c r="I135"/>
      <c r="J135" s="308"/>
      <c r="K135" s="308"/>
      <c r="L135" s="308"/>
    </row>
    <row r="136" spans="2:12" s="1" customFormat="1">
      <c r="B136"/>
      <c r="C136"/>
      <c r="D136" s="273"/>
      <c r="E136" s="273"/>
      <c r="F136" s="273"/>
      <c r="G136"/>
      <c r="H136"/>
      <c r="I136"/>
      <c r="J136" s="308"/>
      <c r="K136" s="308"/>
      <c r="L136" s="308"/>
    </row>
    <row r="137" spans="2:12" s="1" customFormat="1">
      <c r="B137"/>
      <c r="C137"/>
      <c r="D137" s="273"/>
      <c r="E137" s="273"/>
      <c r="F137" s="273"/>
      <c r="G137"/>
      <c r="H137"/>
      <c r="I137"/>
      <c r="J137" s="308"/>
      <c r="K137" s="308"/>
      <c r="L137" s="308"/>
    </row>
    <row r="138" spans="2:12" s="1" customFormat="1"/>
  </sheetData>
  <mergeCells count="1">
    <mergeCell ref="D3:I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78"/>
  <sheetViews>
    <sheetView showGridLines="0" topLeftCell="A31" zoomScale="110" zoomScaleNormal="110" workbookViewId="0">
      <selection activeCell="H95" sqref="H95"/>
    </sheetView>
  </sheetViews>
  <sheetFormatPr defaultColWidth="0" defaultRowHeight="0" customHeight="1" zeroHeight="1"/>
  <cols>
    <col min="1" max="1" width="3.5703125" style="107" customWidth="1"/>
    <col min="2" max="2" width="23.28515625" customWidth="1"/>
    <col min="3" max="3" width="15.7109375" customWidth="1"/>
    <col min="4" max="4" width="3.5703125" customWidth="1"/>
    <col min="5" max="5" width="40.5703125" style="17" customWidth="1"/>
    <col min="6" max="6" width="9.5703125" style="17" customWidth="1"/>
    <col min="7" max="7" width="10.7109375" style="108" bestFit="1" customWidth="1"/>
    <col min="8" max="8" width="15.5703125" style="108" bestFit="1" customWidth="1"/>
    <col min="9" max="11" width="13" style="108" bestFit="1" customWidth="1"/>
    <col min="12" max="12" width="3.5703125" style="107" customWidth="1"/>
    <col min="13" max="16384" width="8.7109375" hidden="1"/>
  </cols>
  <sheetData>
    <row r="1" spans="2:11" s="107" customFormat="1" ht="15.75">
      <c r="G1" s="184"/>
      <c r="H1" s="184"/>
      <c r="I1" s="184"/>
      <c r="J1" s="184"/>
      <c r="K1" s="184"/>
    </row>
    <row r="2" spans="2:11" s="107" customFormat="1" ht="15.75">
      <c r="B2" s="180" t="str">
        <f>COMPANY_NAME</f>
        <v>Coca-Cola Bottling Co. Consolidated (COKE)</v>
      </c>
      <c r="C2" s="180"/>
      <c r="D2" s="180"/>
      <c r="E2" s="180"/>
      <c r="F2" s="180"/>
      <c r="G2" s="181"/>
      <c r="H2" s="181"/>
      <c r="I2" s="181"/>
      <c r="J2" s="181"/>
      <c r="K2" s="181"/>
    </row>
    <row r="3" spans="2:11" s="107" customFormat="1" ht="15.75">
      <c r="B3" s="180"/>
      <c r="C3" s="180"/>
      <c r="D3" s="180"/>
      <c r="E3" s="180"/>
      <c r="F3" s="183"/>
      <c r="G3" s="182" t="s">
        <v>168</v>
      </c>
      <c r="H3" s="182"/>
      <c r="I3" s="181"/>
      <c r="J3" s="181"/>
      <c r="K3" s="181"/>
    </row>
    <row r="4" spans="2:11" s="107" customFormat="1" ht="15.75">
      <c r="B4" s="180" t="str">
        <f>CURRENCY</f>
        <v>(in thousands, except per share data)</v>
      </c>
      <c r="C4" s="180"/>
      <c r="D4" s="180"/>
      <c r="E4" s="180"/>
      <c r="F4" s="179">
        <f>EDATE(G4,-12)</f>
        <v>43070</v>
      </c>
      <c r="G4" s="178">
        <f>EDATE(H4,-12)</f>
        <v>43435</v>
      </c>
      <c r="H4" s="178">
        <f>LHY</f>
        <v>43800</v>
      </c>
      <c r="I4" s="177">
        <f>EDATE(H4,12)</f>
        <v>44166</v>
      </c>
      <c r="J4" s="177">
        <f>EDATE(I4,12)</f>
        <v>44531</v>
      </c>
      <c r="K4" s="177">
        <f>EDATE(J4,12)</f>
        <v>44896</v>
      </c>
    </row>
    <row r="5" spans="2:11" s="107" customFormat="1" ht="15.75">
      <c r="B5" s="115"/>
      <c r="C5" s="115"/>
      <c r="D5" s="115"/>
      <c r="E5" s="115"/>
      <c r="F5" s="115"/>
      <c r="G5" s="176"/>
      <c r="H5" s="176"/>
      <c r="I5" s="173"/>
      <c r="J5" s="173"/>
      <c r="K5" s="173"/>
    </row>
    <row r="6" spans="2:11" s="107" customFormat="1" ht="25.5">
      <c r="B6" s="147" t="s">
        <v>167</v>
      </c>
      <c r="C6" s="115"/>
      <c r="D6" s="115"/>
      <c r="E6" s="175"/>
      <c r="F6" s="175"/>
      <c r="G6" s="174"/>
      <c r="H6" s="174"/>
      <c r="I6" s="173"/>
      <c r="J6" s="173"/>
      <c r="K6" s="173"/>
    </row>
    <row r="7" spans="2:11" s="107" customFormat="1" ht="15.75">
      <c r="B7" s="147"/>
      <c r="C7" s="115"/>
      <c r="D7" s="115"/>
      <c r="E7" s="175"/>
      <c r="F7" s="175"/>
      <c r="G7" s="174"/>
      <c r="H7" s="174"/>
      <c r="I7" s="173"/>
      <c r="J7" s="173"/>
      <c r="K7" s="173"/>
    </row>
    <row r="8" spans="2:11" s="107" customFormat="1" ht="15.75">
      <c r="B8" s="172" t="s">
        <v>166</v>
      </c>
      <c r="C8" s="171" t="s">
        <v>165</v>
      </c>
      <c r="D8"/>
      <c r="E8"/>
      <c r="F8" s="17"/>
      <c r="G8" s="170"/>
      <c r="H8" s="170"/>
      <c r="I8" s="112"/>
      <c r="J8" s="112"/>
      <c r="K8" s="112"/>
    </row>
    <row r="9" spans="2:11" s="107" customFormat="1" ht="15.75">
      <c r="B9" s="169"/>
      <c r="C9"/>
      <c r="D9"/>
      <c r="E9" s="168" t="s">
        <v>140</v>
      </c>
      <c r="F9" s="17"/>
      <c r="G9" s="160"/>
      <c r="H9" s="160"/>
      <c r="I9" s="112"/>
      <c r="J9" s="112"/>
      <c r="K9" s="112"/>
    </row>
    <row r="10" spans="2:11" s="107" customFormat="1" ht="15.75">
      <c r="B10" s="167"/>
      <c r="C10"/>
      <c r="D10"/>
      <c r="E10" s="164" t="s">
        <v>141</v>
      </c>
      <c r="F10" s="17"/>
      <c r="G10" s="139"/>
      <c r="H10" s="139">
        <f>G12</f>
        <v>78242</v>
      </c>
      <c r="I10" s="139">
        <f>H12</f>
        <v>76860</v>
      </c>
      <c r="J10" s="139">
        <f>I12</f>
        <v>75436.539999999994</v>
      </c>
      <c r="K10" s="139">
        <f>J12</f>
        <v>73970.376199999999</v>
      </c>
    </row>
    <row r="11" spans="2:11" s="107" customFormat="1" ht="15.75">
      <c r="B11" s="167"/>
      <c r="C11"/>
      <c r="D11"/>
      <c r="E11" s="164" t="s">
        <v>158</v>
      </c>
      <c r="F11" s="17"/>
      <c r="G11" s="139"/>
      <c r="H11" s="139">
        <f>H12-H10</f>
        <v>-1382</v>
      </c>
      <c r="I11" s="163">
        <f>'Income Statement'!J$6*'FixedAssetModule(FAM)'!I14</f>
        <v>-1423.46</v>
      </c>
      <c r="J11" s="163">
        <f>'Income Statement'!K$6*'FixedAssetModule(FAM)'!J14</f>
        <v>-1466.1637999999998</v>
      </c>
      <c r="K11" s="163">
        <f>'Income Statement'!L$6*'FixedAssetModule(FAM)'!K14</f>
        <v>-1510.1487139999999</v>
      </c>
    </row>
    <row r="12" spans="2:11" s="107" customFormat="1" ht="15.75">
      <c r="B12" s="167"/>
      <c r="C12"/>
      <c r="D12"/>
      <c r="E12" s="162" t="s">
        <v>142</v>
      </c>
      <c r="F12" s="161"/>
      <c r="G12" s="160">
        <v>78242</v>
      </c>
      <c r="H12" s="160">
        <v>76860</v>
      </c>
      <c r="I12" s="159">
        <f>SUM(I10:I11)</f>
        <v>75436.539999999994</v>
      </c>
      <c r="J12" s="159">
        <f>J10+J11</f>
        <v>73970.376199999999</v>
      </c>
      <c r="K12" s="159">
        <f>K10+K11</f>
        <v>72460.227486000003</v>
      </c>
    </row>
    <row r="13" spans="2:11" s="107" customFormat="1" ht="15.75">
      <c r="B13" s="167"/>
      <c r="C13"/>
      <c r="D13"/>
      <c r="E13" s="158"/>
      <c r="F13" s="17"/>
      <c r="G13" s="139"/>
      <c r="H13" s="139"/>
      <c r="I13" s="112"/>
      <c r="J13" s="112"/>
      <c r="K13" s="112"/>
    </row>
    <row r="14" spans="2:11" s="107" customFormat="1" ht="15.75">
      <c r="B14" s="167"/>
      <c r="C14"/>
      <c r="D14"/>
      <c r="E14" s="158" t="s">
        <v>157</v>
      </c>
      <c r="F14" s="17"/>
      <c r="G14" s="139"/>
      <c r="H14" s="157">
        <f>H11/'Income Statement'!I$6</f>
        <v>-2.863329472051356E-4</v>
      </c>
      <c r="I14" s="156">
        <f>H14</f>
        <v>-2.863329472051356E-4</v>
      </c>
      <c r="J14" s="156">
        <f>I14</f>
        <v>-2.863329472051356E-4</v>
      </c>
      <c r="K14" s="156">
        <f>J14</f>
        <v>-2.863329472051356E-4</v>
      </c>
    </row>
    <row r="15" spans="2:11" s="107" customFormat="1" ht="15.75">
      <c r="B15" s="167"/>
      <c r="C15"/>
      <c r="D15"/>
      <c r="E15" s="158"/>
      <c r="F15" s="17"/>
      <c r="G15" s="139"/>
      <c r="H15" s="139"/>
      <c r="I15" s="112"/>
      <c r="J15" s="112"/>
      <c r="K15" s="112"/>
    </row>
    <row r="16" spans="2:11" s="107" customFormat="1" ht="15.75">
      <c r="B16" s="148" t="s">
        <v>164</v>
      </c>
      <c r="C16" s="166">
        <f>1/AVERAGE(8,50)</f>
        <v>3.4482758620689655E-2</v>
      </c>
      <c r="D16"/>
      <c r="E16" s="147" t="s">
        <v>143</v>
      </c>
      <c r="F16" s="17"/>
      <c r="G16" s="139"/>
      <c r="H16" s="139"/>
      <c r="I16" s="116"/>
      <c r="J16" s="116"/>
      <c r="K16" s="116"/>
    </row>
    <row r="17" spans="2:11" s="107" customFormat="1" ht="15.75">
      <c r="B17" s="148"/>
      <c r="C17" s="166"/>
      <c r="D17"/>
      <c r="E17" s="164" t="s">
        <v>141</v>
      </c>
      <c r="F17" s="17"/>
      <c r="G17" s="139"/>
      <c r="H17" s="139">
        <f>G19</f>
        <v>218846</v>
      </c>
      <c r="I17" s="139">
        <f>H19</f>
        <v>223500</v>
      </c>
      <c r="J17" s="139">
        <f>I19</f>
        <v>228293.62</v>
      </c>
      <c r="K17" s="139">
        <f>J19</f>
        <v>233231.04859999998</v>
      </c>
    </row>
    <row r="18" spans="2:11" s="107" customFormat="1" ht="15.75">
      <c r="B18" s="148"/>
      <c r="C18" s="166"/>
      <c r="D18"/>
      <c r="E18" s="164" t="s">
        <v>158</v>
      </c>
      <c r="F18" s="17"/>
      <c r="G18" s="139"/>
      <c r="H18" s="139">
        <f>H19-H17</f>
        <v>4654</v>
      </c>
      <c r="I18" s="163">
        <f>'Income Statement'!J$6*'FixedAssetModule(FAM)'!I21</f>
        <v>4793.62</v>
      </c>
      <c r="J18" s="163">
        <f>'Income Statement'!K$6*'FixedAssetModule(FAM)'!J21</f>
        <v>4937.4285999999993</v>
      </c>
      <c r="K18" s="163">
        <f>'Income Statement'!L$6*'FixedAssetModule(FAM)'!K21</f>
        <v>5085.5514579999999</v>
      </c>
    </row>
    <row r="19" spans="2:11" s="107" customFormat="1" ht="15.75">
      <c r="B19" s="148"/>
      <c r="C19" s="166"/>
      <c r="D19"/>
      <c r="E19" s="162" t="s">
        <v>142</v>
      </c>
      <c r="F19" s="161"/>
      <c r="G19" s="13">
        <v>218846</v>
      </c>
      <c r="H19" s="13">
        <v>223500</v>
      </c>
      <c r="I19" s="159">
        <f>SUM(I17:I18)</f>
        <v>228293.62</v>
      </c>
      <c r="J19" s="159">
        <f>J17+J18</f>
        <v>233231.04859999998</v>
      </c>
      <c r="K19" s="159">
        <f>K17+K18</f>
        <v>238316.60005799998</v>
      </c>
    </row>
    <row r="20" spans="2:11" s="107" customFormat="1" ht="15.75">
      <c r="B20" s="148"/>
      <c r="C20" s="166"/>
      <c r="D20"/>
      <c r="E20" s="158"/>
      <c r="F20" s="17"/>
      <c r="G20" s="139"/>
      <c r="H20" s="139"/>
      <c r="I20" s="112"/>
      <c r="J20" s="112"/>
      <c r="K20" s="112"/>
    </row>
    <row r="21" spans="2:11" s="107" customFormat="1" ht="15.75">
      <c r="B21" s="148"/>
      <c r="C21" s="166"/>
      <c r="D21"/>
      <c r="E21" s="158" t="s">
        <v>157</v>
      </c>
      <c r="F21" s="17"/>
      <c r="G21" s="139"/>
      <c r="H21" s="157">
        <f>H18/'Income Statement'!I$6</f>
        <v>9.6425002626099928E-4</v>
      </c>
      <c r="I21" s="156">
        <f>H21</f>
        <v>9.6425002626099928E-4</v>
      </c>
      <c r="J21" s="156">
        <f>I21</f>
        <v>9.6425002626099928E-4</v>
      </c>
      <c r="K21" s="156">
        <f>J21</f>
        <v>9.6425002626099928E-4</v>
      </c>
    </row>
    <row r="22" spans="2:11" s="107" customFormat="1" ht="15.75">
      <c r="B22" s="148"/>
      <c r="C22" s="166"/>
      <c r="D22"/>
      <c r="E22" s="158"/>
      <c r="F22" s="17"/>
      <c r="G22" s="139"/>
      <c r="H22" s="139"/>
      <c r="I22" s="112"/>
      <c r="J22" s="112"/>
      <c r="K22" s="112"/>
    </row>
    <row r="23" spans="2:11" s="107" customFormat="1" ht="15.75">
      <c r="B23" s="148" t="s">
        <v>161</v>
      </c>
      <c r="C23" s="166">
        <f>1/AVERAGE(5,20)</f>
        <v>0.08</v>
      </c>
      <c r="D23"/>
      <c r="E23" s="147" t="s">
        <v>144</v>
      </c>
      <c r="F23" s="17"/>
      <c r="G23" s="165"/>
      <c r="H23" s="165"/>
      <c r="I23" s="116"/>
      <c r="J23" s="116"/>
      <c r="K23" s="116"/>
    </row>
    <row r="24" spans="2:11" s="107" customFormat="1" ht="15.75">
      <c r="B24" s="148"/>
      <c r="C24" s="166"/>
      <c r="D24"/>
      <c r="E24" s="164" t="s">
        <v>141</v>
      </c>
      <c r="F24" s="17"/>
      <c r="G24" s="139"/>
      <c r="H24" s="139">
        <f>G26</f>
        <v>328034</v>
      </c>
      <c r="I24" s="139">
        <f>H26</f>
        <v>355575</v>
      </c>
      <c r="J24" s="139">
        <f>I26</f>
        <v>383942.23</v>
      </c>
      <c r="K24" s="139">
        <f>J26</f>
        <v>413160.47690000001</v>
      </c>
    </row>
    <row r="25" spans="2:11" s="107" customFormat="1" ht="15.75">
      <c r="B25" s="148"/>
      <c r="C25" s="166"/>
      <c r="D25"/>
      <c r="E25" s="164" t="s">
        <v>158</v>
      </c>
      <c r="F25" s="17"/>
      <c r="G25" s="139"/>
      <c r="H25" s="139">
        <f>H26-H24</f>
        <v>27541</v>
      </c>
      <c r="I25" s="163">
        <f>'Income Statement'!J$6*'FixedAssetModule(FAM)'!I28</f>
        <v>28367.229999999996</v>
      </c>
      <c r="J25" s="163">
        <f>'Income Statement'!K$6*'FixedAssetModule(FAM)'!J28</f>
        <v>29218.246899999998</v>
      </c>
      <c r="K25" s="163">
        <f>'Income Statement'!L$6*'FixedAssetModule(FAM)'!K28</f>
        <v>30094.794306999996</v>
      </c>
    </row>
    <row r="26" spans="2:11" s="107" customFormat="1" ht="15.75">
      <c r="B26" s="148"/>
      <c r="C26" s="166"/>
      <c r="D26"/>
      <c r="E26" s="162" t="s">
        <v>142</v>
      </c>
      <c r="F26" s="161"/>
      <c r="G26" s="13">
        <v>328034</v>
      </c>
      <c r="H26" s="13">
        <v>355575</v>
      </c>
      <c r="I26" s="159">
        <f>SUM(I24:I25)</f>
        <v>383942.23</v>
      </c>
      <c r="J26" s="159">
        <f>J24+J25</f>
        <v>413160.47690000001</v>
      </c>
      <c r="K26" s="159">
        <f>K24+K25</f>
        <v>443255.27120700001</v>
      </c>
    </row>
    <row r="27" spans="2:11" s="107" customFormat="1" ht="15.75">
      <c r="B27" s="148"/>
      <c r="C27" s="166"/>
      <c r="D27"/>
      <c r="E27" s="158"/>
      <c r="F27" s="17"/>
      <c r="G27" s="139"/>
      <c r="H27" s="139"/>
      <c r="I27" s="112"/>
      <c r="J27" s="112"/>
      <c r="K27" s="112"/>
    </row>
    <row r="28" spans="2:11" s="107" customFormat="1" ht="15.75">
      <c r="B28" s="148"/>
      <c r="C28" s="166"/>
      <c r="D28"/>
      <c r="E28" s="158" t="s">
        <v>157</v>
      </c>
      <c r="F28" s="17"/>
      <c r="G28" s="139"/>
      <c r="H28" s="157">
        <f>H25/'Income Statement'!I$6</f>
        <v>5.7061473943391021E-3</v>
      </c>
      <c r="I28" s="156">
        <f>H28</f>
        <v>5.7061473943391021E-3</v>
      </c>
      <c r="J28" s="156">
        <f>I28</f>
        <v>5.7061473943391021E-3</v>
      </c>
      <c r="K28" s="156">
        <f>J28</f>
        <v>5.7061473943391021E-3</v>
      </c>
    </row>
    <row r="29" spans="2:11" s="107" customFormat="1" ht="15.75">
      <c r="B29" s="148"/>
      <c r="C29" s="166"/>
      <c r="D29"/>
      <c r="E29" s="158"/>
      <c r="F29" s="17"/>
      <c r="G29" s="139"/>
      <c r="H29" s="139"/>
      <c r="I29" s="112"/>
      <c r="J29" s="112"/>
      <c r="K29" s="112"/>
    </row>
    <row r="30" spans="2:11" s="107" customFormat="1" ht="15.75">
      <c r="B30" s="148" t="s">
        <v>163</v>
      </c>
      <c r="C30" s="166">
        <f>1/AVERAGE(4,20)</f>
        <v>8.3333333333333329E-2</v>
      </c>
      <c r="D30"/>
      <c r="E30" s="147" t="s">
        <v>145</v>
      </c>
      <c r="F30" s="17"/>
      <c r="G30" s="165"/>
      <c r="H30" s="165"/>
      <c r="I30" s="112"/>
      <c r="J30" s="112"/>
      <c r="K30" s="112"/>
    </row>
    <row r="31" spans="2:11" s="107" customFormat="1" ht="15.75">
      <c r="B31" s="148"/>
      <c r="C31" s="166"/>
      <c r="D31"/>
      <c r="E31" s="164" t="s">
        <v>141</v>
      </c>
      <c r="F31" s="17"/>
      <c r="G31" s="139"/>
      <c r="H31" s="139">
        <f>G33</f>
        <v>372895</v>
      </c>
      <c r="I31" s="139">
        <f>H33</f>
        <v>417532</v>
      </c>
      <c r="J31" s="139">
        <f>I33</f>
        <v>463508.11</v>
      </c>
      <c r="K31" s="139">
        <f>J33</f>
        <v>510863.50329999998</v>
      </c>
    </row>
    <row r="32" spans="2:11" s="107" customFormat="1" ht="15.75">
      <c r="B32" s="148"/>
      <c r="C32" s="166"/>
      <c r="D32"/>
      <c r="E32" s="164" t="s">
        <v>158</v>
      </c>
      <c r="F32" s="17"/>
      <c r="G32" s="139"/>
      <c r="H32" s="139">
        <f>H33-H31</f>
        <v>44637</v>
      </c>
      <c r="I32" s="163">
        <f>'Income Statement'!J$6*'FixedAssetModule(FAM)'!I35</f>
        <v>45976.109999999993</v>
      </c>
      <c r="J32" s="163">
        <f>'Income Statement'!K$6*'FixedAssetModule(FAM)'!J35</f>
        <v>47355.393299999996</v>
      </c>
      <c r="K32" s="163">
        <f>'Income Statement'!L$6*'FixedAssetModule(FAM)'!K35</f>
        <v>48776.055098999997</v>
      </c>
    </row>
    <row r="33" spans="2:11" s="107" customFormat="1" ht="15.75">
      <c r="B33" s="148"/>
      <c r="C33" s="166"/>
      <c r="D33"/>
      <c r="E33" s="162" t="s">
        <v>142</v>
      </c>
      <c r="F33" s="161"/>
      <c r="G33" s="13">
        <v>372895</v>
      </c>
      <c r="H33" s="13">
        <v>417532</v>
      </c>
      <c r="I33" s="159">
        <f>SUM(I31:I32)</f>
        <v>463508.11</v>
      </c>
      <c r="J33" s="159">
        <f>J31+J32</f>
        <v>510863.50329999998</v>
      </c>
      <c r="K33" s="159">
        <f>K31+K32</f>
        <v>559639.55839899997</v>
      </c>
    </row>
    <row r="34" spans="2:11" s="107" customFormat="1" ht="15.75">
      <c r="B34" s="148"/>
      <c r="C34" s="166"/>
      <c r="D34"/>
      <c r="E34" s="158"/>
      <c r="F34" s="17"/>
      <c r="G34" s="139"/>
      <c r="H34" s="139"/>
      <c r="I34" s="112"/>
      <c r="J34" s="112"/>
      <c r="K34" s="112"/>
    </row>
    <row r="35" spans="2:11" s="107" customFormat="1" ht="15.75">
      <c r="B35" s="148"/>
      <c r="C35" s="166"/>
      <c r="D35"/>
      <c r="E35" s="158" t="s">
        <v>157</v>
      </c>
      <c r="F35" s="17"/>
      <c r="G35" s="139"/>
      <c r="H35" s="157">
        <f>H32/'Income Statement'!I$6</f>
        <v>9.2482226949317202E-3</v>
      </c>
      <c r="I35" s="156">
        <f>H35</f>
        <v>9.2482226949317202E-3</v>
      </c>
      <c r="J35" s="156">
        <f>I35</f>
        <v>9.2482226949317202E-3</v>
      </c>
      <c r="K35" s="156">
        <f>J35</f>
        <v>9.2482226949317202E-3</v>
      </c>
    </row>
    <row r="36" spans="2:11" s="107" customFormat="1" ht="15.75">
      <c r="B36" s="148"/>
      <c r="C36" s="166"/>
      <c r="D36"/>
      <c r="E36" s="158"/>
      <c r="F36" s="17"/>
      <c r="G36" s="139"/>
      <c r="H36" s="139"/>
      <c r="I36" s="112"/>
      <c r="J36" s="112"/>
      <c r="K36" s="112"/>
    </row>
    <row r="37" spans="2:11" s="107" customFormat="1" ht="15.75">
      <c r="B37" s="148" t="s">
        <v>160</v>
      </c>
      <c r="C37" s="166">
        <f>1/AVERAGE(3,10)</f>
        <v>0.15384615384615385</v>
      </c>
      <c r="D37"/>
      <c r="E37" s="147" t="s">
        <v>146</v>
      </c>
      <c r="F37" s="17"/>
      <c r="G37" s="165"/>
      <c r="H37" s="165"/>
      <c r="I37" s="112"/>
      <c r="J37" s="112"/>
      <c r="K37" s="112"/>
    </row>
    <row r="38" spans="2:11" s="107" customFormat="1" ht="15.75">
      <c r="B38" s="148"/>
      <c r="C38" s="166"/>
      <c r="D38"/>
      <c r="E38" s="164" t="s">
        <v>141</v>
      </c>
      <c r="F38" s="17"/>
      <c r="G38" s="139"/>
      <c r="H38" s="139">
        <f>G40</f>
        <v>89439</v>
      </c>
      <c r="I38" s="139">
        <f>H40</f>
        <v>92059</v>
      </c>
      <c r="J38" s="139">
        <f>I40</f>
        <v>94757.6</v>
      </c>
      <c r="K38" s="139">
        <f>J40</f>
        <v>97537.15800000001</v>
      </c>
    </row>
    <row r="39" spans="2:11" s="107" customFormat="1" ht="15.75">
      <c r="B39" s="148"/>
      <c r="C39" s="166"/>
      <c r="D39"/>
      <c r="E39" s="164" t="s">
        <v>158</v>
      </c>
      <c r="F39" s="17"/>
      <c r="G39" s="139"/>
      <c r="H39" s="139">
        <f>H40-H38</f>
        <v>2620</v>
      </c>
      <c r="I39" s="163">
        <f>'Income Statement'!J$6*'FixedAssetModule(FAM)'!I42</f>
        <v>2698.6</v>
      </c>
      <c r="J39" s="163">
        <f>'Income Statement'!K$6*'FixedAssetModule(FAM)'!J42</f>
        <v>2779.5579999999995</v>
      </c>
      <c r="K39" s="163">
        <f>'Income Statement'!L$6*'FixedAssetModule(FAM)'!K42</f>
        <v>2862.9447399999999</v>
      </c>
    </row>
    <row r="40" spans="2:11" s="107" customFormat="1" ht="15.75">
      <c r="B40" s="148"/>
      <c r="C40" s="166"/>
      <c r="D40"/>
      <c r="E40" s="162" t="s">
        <v>142</v>
      </c>
      <c r="F40" s="161"/>
      <c r="G40" s="13">
        <v>89439</v>
      </c>
      <c r="H40" s="13">
        <v>92059</v>
      </c>
      <c r="I40" s="159">
        <f>SUM(I38:I39)</f>
        <v>94757.6</v>
      </c>
      <c r="J40" s="159">
        <f>J38+J39</f>
        <v>97537.15800000001</v>
      </c>
      <c r="K40" s="159">
        <f>K38+K39</f>
        <v>100400.10274000002</v>
      </c>
    </row>
    <row r="41" spans="2:11" s="107" customFormat="1" ht="15.75">
      <c r="B41" s="148"/>
      <c r="C41" s="166"/>
      <c r="D41"/>
      <c r="E41" s="158"/>
      <c r="F41" s="17"/>
      <c r="G41" s="139"/>
      <c r="H41" s="139"/>
      <c r="I41" s="112"/>
      <c r="J41" s="112"/>
      <c r="K41" s="112"/>
    </row>
    <row r="42" spans="2:11" s="107" customFormat="1" ht="15.75">
      <c r="B42" s="148"/>
      <c r="C42" s="166"/>
      <c r="D42"/>
      <c r="E42" s="158" t="s">
        <v>157</v>
      </c>
      <c r="F42" s="17"/>
      <c r="G42" s="139"/>
      <c r="H42" s="157">
        <f>H39/'Income Statement'!I$6</f>
        <v>5.4283091293592998E-4</v>
      </c>
      <c r="I42" s="156">
        <f>H42</f>
        <v>5.4283091293592998E-4</v>
      </c>
      <c r="J42" s="156">
        <f>I42</f>
        <v>5.4283091293592998E-4</v>
      </c>
      <c r="K42" s="156">
        <f>J42</f>
        <v>5.4283091293592998E-4</v>
      </c>
    </row>
    <row r="43" spans="2:11" s="107" customFormat="1" ht="15.75">
      <c r="B43" s="148"/>
      <c r="C43" s="166"/>
      <c r="D43"/>
      <c r="E43" s="158"/>
      <c r="F43" s="17"/>
      <c r="G43" s="139"/>
      <c r="H43" s="139"/>
      <c r="I43" s="112"/>
      <c r="J43" s="112"/>
      <c r="K43" s="112"/>
    </row>
    <row r="44" spans="2:11" s="107" customFormat="1" ht="15.75">
      <c r="B44" s="148" t="s">
        <v>162</v>
      </c>
      <c r="C44" s="166">
        <f>1/AVERAGE(5,17)</f>
        <v>9.0909090909090912E-2</v>
      </c>
      <c r="D44"/>
      <c r="E44" s="147" t="s">
        <v>147</v>
      </c>
      <c r="F44" s="17"/>
      <c r="G44" s="165"/>
      <c r="H44" s="165"/>
      <c r="I44" s="112"/>
      <c r="J44" s="112"/>
      <c r="K44" s="112"/>
    </row>
    <row r="45" spans="2:11" s="107" customFormat="1" ht="15.75">
      <c r="B45" s="148"/>
      <c r="C45" s="166"/>
      <c r="D45"/>
      <c r="E45" s="164" t="s">
        <v>141</v>
      </c>
      <c r="F45" s="17"/>
      <c r="G45" s="139"/>
      <c r="H45" s="139">
        <f>G47</f>
        <v>491161</v>
      </c>
      <c r="I45" s="139">
        <f>H47</f>
        <v>489050</v>
      </c>
      <c r="J45" s="139">
        <f>I47</f>
        <v>486875.67</v>
      </c>
      <c r="K45" s="139">
        <f>J47</f>
        <v>484636.11009999999</v>
      </c>
    </row>
    <row r="46" spans="2:11" s="107" customFormat="1" ht="15.75">
      <c r="B46" s="148"/>
      <c r="C46" s="166"/>
      <c r="D46"/>
      <c r="E46" s="164" t="s">
        <v>158</v>
      </c>
      <c r="F46" s="17"/>
      <c r="G46" s="139"/>
      <c r="H46" s="139">
        <f>H47-H45</f>
        <v>-2111</v>
      </c>
      <c r="I46" s="163">
        <f>'Income Statement'!J$6*'FixedAssetModule(FAM)'!I49</f>
        <v>-2174.33</v>
      </c>
      <c r="J46" s="163">
        <f>'Income Statement'!K$6*'FixedAssetModule(FAM)'!J49</f>
        <v>-2239.5598999999997</v>
      </c>
      <c r="K46" s="163">
        <f>'Income Statement'!L$6*'FixedAssetModule(FAM)'!K49</f>
        <v>-2306.746697</v>
      </c>
    </row>
    <row r="47" spans="2:11" s="107" customFormat="1" ht="15.75">
      <c r="B47" s="148"/>
      <c r="C47" s="166"/>
      <c r="D47"/>
      <c r="E47" s="162" t="s">
        <v>142</v>
      </c>
      <c r="F47" s="161"/>
      <c r="G47" s="13">
        <v>491161</v>
      </c>
      <c r="H47" s="13">
        <v>489050</v>
      </c>
      <c r="I47" s="159">
        <f>SUM(I45:I46)</f>
        <v>486875.67</v>
      </c>
      <c r="J47" s="159">
        <f>J45+J46</f>
        <v>484636.11009999999</v>
      </c>
      <c r="K47" s="159">
        <f>K45+K46</f>
        <v>482329.363403</v>
      </c>
    </row>
    <row r="48" spans="2:11" s="107" customFormat="1" ht="15.75">
      <c r="B48" s="148"/>
      <c r="C48" s="166"/>
      <c r="D48"/>
      <c r="E48" s="158"/>
      <c r="F48" s="17"/>
      <c r="G48" s="139"/>
      <c r="H48" s="139"/>
      <c r="I48" s="112"/>
      <c r="J48" s="112"/>
      <c r="K48" s="112"/>
    </row>
    <row r="49" spans="2:11" s="107" customFormat="1" ht="15.75">
      <c r="B49" s="148"/>
      <c r="C49" s="166"/>
      <c r="D49"/>
      <c r="E49" s="158" t="s">
        <v>157</v>
      </c>
      <c r="F49" s="17"/>
      <c r="G49" s="139"/>
      <c r="H49" s="157">
        <f>H46/'Income Statement'!I$6</f>
        <v>-4.3737254091898788E-4</v>
      </c>
      <c r="I49" s="156">
        <f>H49</f>
        <v>-4.3737254091898788E-4</v>
      </c>
      <c r="J49" s="156">
        <f>I49</f>
        <v>-4.3737254091898788E-4</v>
      </c>
      <c r="K49" s="156">
        <f>J49</f>
        <v>-4.3737254091898788E-4</v>
      </c>
    </row>
    <row r="50" spans="2:11" s="107" customFormat="1" ht="15.75">
      <c r="B50" s="148"/>
      <c r="C50" s="166"/>
      <c r="D50"/>
      <c r="E50" s="158"/>
      <c r="F50" s="17"/>
      <c r="G50" s="139"/>
      <c r="H50" s="139"/>
      <c r="I50" s="112"/>
      <c r="J50" s="112"/>
      <c r="K50" s="112"/>
    </row>
    <row r="51" spans="2:11" s="107" customFormat="1" ht="15.75">
      <c r="B51" s="148" t="s">
        <v>161</v>
      </c>
      <c r="C51" s="166">
        <f>1/AVERAGE(5,20)</f>
        <v>0.08</v>
      </c>
      <c r="D51"/>
      <c r="E51" s="147" t="s">
        <v>148</v>
      </c>
      <c r="F51" s="17"/>
      <c r="G51" s="165"/>
      <c r="H51" s="165"/>
      <c r="I51" s="126"/>
      <c r="J51" s="126"/>
      <c r="K51" s="126"/>
    </row>
    <row r="52" spans="2:11" s="107" customFormat="1" ht="15.75">
      <c r="B52" s="148"/>
      <c r="C52" s="166"/>
      <c r="D52"/>
      <c r="E52" s="164" t="s">
        <v>141</v>
      </c>
      <c r="F52" s="17"/>
      <c r="G52" s="139"/>
      <c r="H52" s="139">
        <f>G54</f>
        <v>132837</v>
      </c>
      <c r="I52" s="139">
        <f>H54</f>
        <v>145341</v>
      </c>
      <c r="J52" s="139">
        <f>I54</f>
        <v>158220.12</v>
      </c>
      <c r="K52" s="139">
        <f>J54</f>
        <v>171485.61359999998</v>
      </c>
    </row>
    <row r="53" spans="2:11" s="107" customFormat="1" ht="15.75">
      <c r="B53" s="148"/>
      <c r="C53" s="166"/>
      <c r="D53"/>
      <c r="E53" s="164" t="s">
        <v>158</v>
      </c>
      <c r="F53" s="17"/>
      <c r="G53" s="139"/>
      <c r="H53" s="139">
        <f>H54-H52</f>
        <v>12504</v>
      </c>
      <c r="I53" s="163">
        <f>'Income Statement'!J$6*'FixedAssetModule(FAM)'!I56</f>
        <v>12879.12</v>
      </c>
      <c r="J53" s="163">
        <f>'Income Statement'!K$6*'FixedAssetModule(FAM)'!J56</f>
        <v>13265.4936</v>
      </c>
      <c r="K53" s="163">
        <f>'Income Statement'!L$6*'FixedAssetModule(FAM)'!K56</f>
        <v>13663.458408</v>
      </c>
    </row>
    <row r="54" spans="2:11" s="107" customFormat="1" ht="15.75">
      <c r="B54" s="148"/>
      <c r="C54" s="166"/>
      <c r="D54"/>
      <c r="E54" s="162" t="s">
        <v>142</v>
      </c>
      <c r="F54" s="161"/>
      <c r="G54" s="13">
        <v>132837</v>
      </c>
      <c r="H54" s="13">
        <v>145341</v>
      </c>
      <c r="I54" s="159">
        <f>SUM(I52:I53)</f>
        <v>158220.12</v>
      </c>
      <c r="J54" s="159">
        <f>J52+J53</f>
        <v>171485.61359999998</v>
      </c>
      <c r="K54" s="159">
        <f>K52+K53</f>
        <v>185149.07200799999</v>
      </c>
    </row>
    <row r="55" spans="2:11" s="107" customFormat="1" ht="15.75">
      <c r="B55" s="148"/>
      <c r="C55" s="166"/>
      <c r="D55"/>
      <c r="E55" s="158"/>
      <c r="F55" s="17"/>
      <c r="G55" s="139"/>
      <c r="H55" s="139"/>
      <c r="I55" s="112"/>
      <c r="J55" s="112"/>
      <c r="K55" s="112"/>
    </row>
    <row r="56" spans="2:11" s="107" customFormat="1" ht="15.75">
      <c r="B56" s="148"/>
      <c r="C56" s="166"/>
      <c r="D56"/>
      <c r="E56" s="158" t="s">
        <v>157</v>
      </c>
      <c r="F56" s="17"/>
      <c r="G56" s="139"/>
      <c r="H56" s="157">
        <f>H53/'Income Statement'!I$6</f>
        <v>2.5906708913552936E-3</v>
      </c>
      <c r="I56" s="156">
        <f>H56</f>
        <v>2.5906708913552936E-3</v>
      </c>
      <c r="J56" s="156">
        <f>I56</f>
        <v>2.5906708913552936E-3</v>
      </c>
      <c r="K56" s="156">
        <f>J56</f>
        <v>2.5906708913552936E-3</v>
      </c>
    </row>
    <row r="57" spans="2:11" s="107" customFormat="1" ht="15.75">
      <c r="B57" s="148"/>
      <c r="C57" s="166"/>
      <c r="D57"/>
      <c r="E57" s="158"/>
      <c r="F57" s="17"/>
      <c r="G57" s="139"/>
      <c r="H57" s="139"/>
      <c r="I57" s="112"/>
      <c r="J57" s="112"/>
      <c r="K57" s="112"/>
    </row>
    <row r="58" spans="2:11" s="107" customFormat="1" ht="15.75">
      <c r="B58" s="148" t="s">
        <v>160</v>
      </c>
      <c r="C58" s="166">
        <f>1/AVERAGE(3,10)</f>
        <v>0.15384615384615385</v>
      </c>
      <c r="D58"/>
      <c r="E58" s="147" t="s">
        <v>149</v>
      </c>
      <c r="F58" s="17"/>
      <c r="G58" s="165"/>
      <c r="H58" s="165"/>
      <c r="I58" s="112"/>
      <c r="J58" s="112"/>
      <c r="K58" s="112"/>
    </row>
    <row r="59" spans="2:11" s="107" customFormat="1" ht="15.75">
      <c r="B59" s="148"/>
      <c r="C59" s="166"/>
      <c r="D59"/>
      <c r="E59" s="164" t="s">
        <v>141</v>
      </c>
      <c r="F59" s="17"/>
      <c r="G59" s="139"/>
      <c r="H59" s="139">
        <f>G61</f>
        <v>122604</v>
      </c>
      <c r="I59" s="139">
        <f>H61</f>
        <v>128792</v>
      </c>
      <c r="J59" s="139">
        <f>I61</f>
        <v>135165.64000000001</v>
      </c>
      <c r="K59" s="139">
        <f>J61</f>
        <v>141730.48920000001</v>
      </c>
    </row>
    <row r="60" spans="2:11" s="107" customFormat="1" ht="15.75">
      <c r="B60" s="148"/>
      <c r="C60" s="166"/>
      <c r="D60"/>
      <c r="E60" s="164" t="s">
        <v>158</v>
      </c>
      <c r="F60" s="17"/>
      <c r="G60" s="139"/>
      <c r="H60" s="139">
        <f>H61-H59</f>
        <v>6188</v>
      </c>
      <c r="I60" s="163">
        <f>'Income Statement'!J$6*'FixedAssetModule(FAM)'!I63</f>
        <v>6373.6399999999994</v>
      </c>
      <c r="J60" s="163">
        <f>'Income Statement'!K$6*'FixedAssetModule(FAM)'!J63</f>
        <v>6564.8491999999997</v>
      </c>
      <c r="K60" s="163">
        <f>'Income Statement'!L$6*'FixedAssetModule(FAM)'!K63</f>
        <v>6761.7946759999995</v>
      </c>
    </row>
    <row r="61" spans="2:11" s="107" customFormat="1" ht="15.75">
      <c r="B61" s="148"/>
      <c r="C61" s="166"/>
      <c r="D61"/>
      <c r="E61" s="162" t="s">
        <v>142</v>
      </c>
      <c r="F61" s="161"/>
      <c r="G61" s="13">
        <v>122604</v>
      </c>
      <c r="H61" s="13">
        <v>128792</v>
      </c>
      <c r="I61" s="159">
        <f>SUM(I59:I60)</f>
        <v>135165.64000000001</v>
      </c>
      <c r="J61" s="159">
        <f>J59+J60</f>
        <v>141730.48920000001</v>
      </c>
      <c r="K61" s="159">
        <f>K59+K60</f>
        <v>148492.283876</v>
      </c>
    </row>
    <row r="62" spans="2:11" s="107" customFormat="1" ht="15.75">
      <c r="B62" s="148"/>
      <c r="C62" s="166"/>
      <c r="D62"/>
      <c r="E62" s="158"/>
      <c r="F62" s="17"/>
      <c r="G62" s="139"/>
      <c r="H62" s="139"/>
      <c r="I62" s="112"/>
      <c r="J62" s="112"/>
      <c r="K62" s="112"/>
    </row>
    <row r="63" spans="2:11" s="107" customFormat="1" ht="15.75">
      <c r="B63" s="148"/>
      <c r="C63" s="166"/>
      <c r="D63"/>
      <c r="E63" s="158" t="s">
        <v>157</v>
      </c>
      <c r="F63" s="17"/>
      <c r="G63" s="139"/>
      <c r="H63" s="157">
        <f>H60/'Income Statement'!I$6</f>
        <v>1.2820754539112729E-3</v>
      </c>
      <c r="I63" s="156">
        <f>H63</f>
        <v>1.2820754539112729E-3</v>
      </c>
      <c r="J63" s="156">
        <f>I63</f>
        <v>1.2820754539112729E-3</v>
      </c>
      <c r="K63" s="156">
        <f>J63</f>
        <v>1.2820754539112729E-3</v>
      </c>
    </row>
    <row r="64" spans="2:11" s="107" customFormat="1" ht="15.75">
      <c r="B64" s="148"/>
      <c r="C64" s="166"/>
      <c r="D64"/>
      <c r="E64" s="158"/>
      <c r="F64" s="17"/>
      <c r="G64" s="139"/>
      <c r="H64" s="139"/>
      <c r="I64" s="112"/>
      <c r="J64" s="112"/>
      <c r="K64" s="112"/>
    </row>
    <row r="65" spans="2:11" s="107" customFormat="1" ht="15.75">
      <c r="B65" s="148"/>
      <c r="C65"/>
      <c r="D65"/>
      <c r="E65" s="147" t="s">
        <v>159</v>
      </c>
      <c r="F65" s="17"/>
      <c r="G65" s="139"/>
      <c r="H65" s="139"/>
      <c r="I65" s="112"/>
      <c r="J65" s="112"/>
      <c r="K65" s="112"/>
    </row>
    <row r="66" spans="2:11" s="107" customFormat="1" ht="15.75">
      <c r="B66" s="148"/>
      <c r="C66"/>
      <c r="D66"/>
      <c r="E66" s="164" t="s">
        <v>141</v>
      </c>
      <c r="F66" s="17"/>
      <c r="G66" s="139"/>
      <c r="H66" s="139">
        <f>G68</f>
        <v>15142</v>
      </c>
      <c r="I66" s="139">
        <f>H68</f>
        <v>29369</v>
      </c>
      <c r="J66" s="139">
        <f>I68</f>
        <v>44022.81</v>
      </c>
      <c r="K66" s="139">
        <f>J68</f>
        <v>59116.234299999996</v>
      </c>
    </row>
    <row r="67" spans="2:11" s="107" customFormat="1" ht="15.75">
      <c r="B67" s="148"/>
      <c r="C67"/>
      <c r="D67"/>
      <c r="E67" s="164" t="s">
        <v>158</v>
      </c>
      <c r="F67" s="17"/>
      <c r="G67" s="139"/>
      <c r="H67" s="139">
        <f>H68-H66</f>
        <v>14227</v>
      </c>
      <c r="I67" s="163">
        <f>'Income Statement'!J$6*'FixedAssetModule(FAM)'!I70</f>
        <v>14653.81</v>
      </c>
      <c r="J67" s="163">
        <f>'Income Statement'!K$6*'FixedAssetModule(FAM)'!J70</f>
        <v>15093.424299999999</v>
      </c>
      <c r="K67" s="163">
        <f>'Income Statement'!L$6*'FixedAssetModule(FAM)'!K70</f>
        <v>15546.227029</v>
      </c>
    </row>
    <row r="68" spans="2:11" s="107" customFormat="1" ht="15.75">
      <c r="B68" s="148"/>
      <c r="C68"/>
      <c r="D68"/>
      <c r="E68" s="162" t="s">
        <v>142</v>
      </c>
      <c r="F68" s="161"/>
      <c r="G68" s="247">
        <v>15142</v>
      </c>
      <c r="H68" s="247">
        <v>29369</v>
      </c>
      <c r="I68" s="159">
        <f>SUM(I66:I67)</f>
        <v>44022.81</v>
      </c>
      <c r="J68" s="159">
        <f>J66+J67</f>
        <v>59116.234299999996</v>
      </c>
      <c r="K68" s="159">
        <f>K66+K67</f>
        <v>74662.461328999998</v>
      </c>
    </row>
    <row r="69" spans="2:11" s="107" customFormat="1" ht="15.75">
      <c r="B69" s="148"/>
      <c r="C69"/>
      <c r="D69"/>
      <c r="E69" s="158"/>
      <c r="F69" s="17"/>
      <c r="G69" s="139"/>
      <c r="H69" s="139"/>
      <c r="I69" s="112"/>
      <c r="J69" s="112"/>
      <c r="K69" s="112"/>
    </row>
    <row r="70" spans="2:11" s="107" customFormat="1" ht="15.75">
      <c r="B70" s="148"/>
      <c r="C70"/>
      <c r="D70"/>
      <c r="E70" s="158" t="s">
        <v>157</v>
      </c>
      <c r="F70" s="17"/>
      <c r="G70" s="139"/>
      <c r="H70" s="157">
        <f>H67/'Income Statement'!I$6</f>
        <v>2.9476547321906398E-3</v>
      </c>
      <c r="I70" s="156">
        <f>H70</f>
        <v>2.9476547321906398E-3</v>
      </c>
      <c r="J70" s="156">
        <f>I70</f>
        <v>2.9476547321906398E-3</v>
      </c>
      <c r="K70" s="156">
        <f>J70</f>
        <v>2.9476547321906398E-3</v>
      </c>
    </row>
    <row r="71" spans="2:11" s="107" customFormat="1" ht="16.5" thickBot="1">
      <c r="B71" s="148"/>
      <c r="C71"/>
      <c r="D71"/>
      <c r="E71" s="158"/>
      <c r="F71" s="17"/>
      <c r="G71" s="139"/>
      <c r="H71" s="139"/>
      <c r="I71" s="112"/>
      <c r="J71" s="112"/>
      <c r="K71" s="112"/>
    </row>
    <row r="72" spans="2:11" s="107" customFormat="1" ht="29.25" thickBot="1">
      <c r="B72" s="148"/>
      <c r="C72"/>
      <c r="D72"/>
      <c r="E72" s="155" t="s">
        <v>150</v>
      </c>
      <c r="F72" s="154"/>
      <c r="G72" s="153">
        <v>1849200</v>
      </c>
      <c r="H72" s="153">
        <v>1958078</v>
      </c>
      <c r="I72" s="152">
        <f>I12+I19+I26+I33+I40+I47+I54+I61+I68</f>
        <v>2070222.3400000003</v>
      </c>
      <c r="J72" s="152">
        <f t="shared" ref="J72:K72" si="0">J12+J19+J26+J33+J40+J47+J54+J61+J68</f>
        <v>2185731.0102000004</v>
      </c>
      <c r="K72" s="152">
        <f t="shared" si="0"/>
        <v>2304704.9405060001</v>
      </c>
    </row>
    <row r="73" spans="2:11" s="107" customFormat="1" ht="16.5" thickBot="1">
      <c r="B73" s="148"/>
      <c r="C73"/>
      <c r="D73"/>
      <c r="E73" s="140"/>
      <c r="F73" s="17"/>
      <c r="G73" s="139"/>
      <c r="H73" s="139"/>
      <c r="I73" s="112"/>
      <c r="J73" s="112"/>
      <c r="K73" s="112"/>
    </row>
    <row r="74" spans="2:11" s="107" customFormat="1" ht="15.75" thickBot="1">
      <c r="B74" s="148"/>
      <c r="C74"/>
      <c r="D74"/>
      <c r="E74" s="151" t="s">
        <v>156</v>
      </c>
      <c r="F74" s="150"/>
      <c r="G74" s="149"/>
      <c r="H74" s="149">
        <f>H11+H18+H25+H32+H39+H46+H53+H60+H67</f>
        <v>108878</v>
      </c>
      <c r="I74" s="149">
        <f t="shared" ref="I74:K74" si="1">I11+I18+I25+I32+I39+I46+I53+I60+I67</f>
        <v>112144.33999999998</v>
      </c>
      <c r="J74" s="149">
        <f t="shared" si="1"/>
        <v>115508.67020000001</v>
      </c>
      <c r="K74" s="149">
        <f t="shared" si="1"/>
        <v>118973.93030600001</v>
      </c>
    </row>
    <row r="75" spans="2:11" s="107" customFormat="1" ht="15.75">
      <c r="B75" s="148"/>
      <c r="C75"/>
      <c r="D75"/>
      <c r="E75" s="140"/>
      <c r="F75" s="17"/>
      <c r="G75" s="139"/>
      <c r="H75" s="139"/>
      <c r="I75" s="112"/>
      <c r="J75" s="112"/>
      <c r="K75" s="112"/>
    </row>
    <row r="76" spans="2:11" s="107" customFormat="1" ht="15.75">
      <c r="B76" s="148"/>
      <c r="C76"/>
      <c r="D76"/>
      <c r="E76" s="140"/>
      <c r="F76" s="17"/>
      <c r="G76" s="139"/>
      <c r="H76" s="139"/>
      <c r="I76" s="112"/>
      <c r="J76" s="112"/>
      <c r="K76" s="112"/>
    </row>
    <row r="77" spans="2:11" s="107" customFormat="1" ht="15.75">
      <c r="B77" s="148"/>
      <c r="C77"/>
      <c r="D77"/>
      <c r="E77" s="140"/>
      <c r="F77" s="17"/>
      <c r="G77" s="139"/>
      <c r="H77" s="139"/>
      <c r="I77" s="112"/>
      <c r="J77" s="112"/>
      <c r="K77" s="112"/>
    </row>
    <row r="78" spans="2:11" s="107" customFormat="1" ht="15.75">
      <c r="B78" s="148"/>
      <c r="C78"/>
      <c r="D78"/>
      <c r="E78" s="140"/>
      <c r="F78" s="17"/>
      <c r="G78" s="139"/>
      <c r="H78" s="139"/>
      <c r="I78" s="112"/>
      <c r="J78" s="112"/>
      <c r="K78" s="112"/>
    </row>
    <row r="79" spans="2:11" s="107" customFormat="1" ht="25.5">
      <c r="B79"/>
      <c r="C79"/>
      <c r="D79"/>
      <c r="E79" s="147" t="s">
        <v>151</v>
      </c>
      <c r="F79" s="17"/>
      <c r="G79" s="139"/>
      <c r="H79" s="139"/>
      <c r="I79" s="112"/>
      <c r="J79" s="112"/>
      <c r="K79" s="112"/>
    </row>
    <row r="80" spans="2:11" s="107" customFormat="1" ht="15.75">
      <c r="B80"/>
      <c r="C80"/>
      <c r="D80"/>
      <c r="E80" s="140"/>
      <c r="F80" s="17"/>
      <c r="G80" s="139"/>
      <c r="H80" s="139"/>
      <c r="I80" s="112"/>
      <c r="J80" s="112"/>
      <c r="K80" s="112"/>
    </row>
    <row r="81" spans="2:11" s="107" customFormat="1" ht="15.75">
      <c r="B81"/>
      <c r="C81"/>
      <c r="D81"/>
      <c r="E81" s="140" t="s">
        <v>155</v>
      </c>
      <c r="F81" s="17"/>
      <c r="G81" s="139"/>
      <c r="H81" s="139">
        <f>G83</f>
        <v>858668</v>
      </c>
      <c r="I81" s="139">
        <f>H83</f>
        <v>960675</v>
      </c>
      <c r="J81" s="139">
        <f>I83</f>
        <v>1063622.5768924968</v>
      </c>
      <c r="K81" s="139">
        <f>J83</f>
        <v>1167735.6147549853</v>
      </c>
    </row>
    <row r="82" spans="2:11" s="107" customFormat="1" ht="15.75">
      <c r="B82"/>
      <c r="C82"/>
      <c r="D82"/>
      <c r="E82" s="146" t="s">
        <v>154</v>
      </c>
      <c r="F82" s="145"/>
      <c r="G82" s="144"/>
      <c r="H82" s="144">
        <f>H83-H81</f>
        <v>102007</v>
      </c>
      <c r="I82" s="143">
        <f>(H88+I74)*I86</f>
        <v>102947.57689249689</v>
      </c>
      <c r="J82" s="143">
        <f>(I88+J74)*J86</f>
        <v>104113.03786248853</v>
      </c>
      <c r="K82" s="143">
        <f>(J88+K74)*K86</f>
        <v>105491.88202025066</v>
      </c>
    </row>
    <row r="83" spans="2:11" s="107" customFormat="1" ht="15.75">
      <c r="B83"/>
      <c r="C83"/>
      <c r="D83"/>
      <c r="E83" s="140" t="s">
        <v>153</v>
      </c>
      <c r="F83" s="17"/>
      <c r="G83" s="139">
        <v>858668</v>
      </c>
      <c r="H83" s="139">
        <v>960675</v>
      </c>
      <c r="I83" s="126">
        <f>SUM(I81:I82)</f>
        <v>1063622.5768924968</v>
      </c>
      <c r="J83" s="126">
        <f>SUM(J81:J82)</f>
        <v>1167735.6147549853</v>
      </c>
      <c r="K83" s="126">
        <f>SUM(K81:K82)</f>
        <v>1273227.496775236</v>
      </c>
    </row>
    <row r="84" spans="2:11" s="107" customFormat="1" ht="15.75">
      <c r="B84"/>
      <c r="C84"/>
      <c r="D84"/>
      <c r="E84" s="140"/>
      <c r="F84" s="17"/>
      <c r="G84" s="139"/>
      <c r="H84" s="139"/>
      <c r="I84" s="126"/>
      <c r="J84" s="126"/>
      <c r="K84" s="126"/>
    </row>
    <row r="85" spans="2:11" s="107" customFormat="1" ht="15.75">
      <c r="B85"/>
      <c r="C85"/>
      <c r="D85"/>
      <c r="E85" s="140"/>
      <c r="F85" s="17"/>
      <c r="G85" s="139"/>
      <c r="H85" s="139"/>
      <c r="I85" s="126"/>
      <c r="J85" s="126"/>
      <c r="K85" s="126"/>
    </row>
    <row r="86" spans="2:11" s="107" customFormat="1" ht="15.75">
      <c r="B86"/>
      <c r="C86"/>
      <c r="D86"/>
      <c r="E86" s="140" t="s">
        <v>152</v>
      </c>
      <c r="F86" s="17"/>
      <c r="G86" s="139"/>
      <c r="H86" s="142">
        <f>H82/(G88+H74)</f>
        <v>9.2783402006530777E-2</v>
      </c>
      <c r="I86" s="141">
        <f>H86</f>
        <v>9.2783402006530777E-2</v>
      </c>
      <c r="J86" s="141">
        <f>I86</f>
        <v>9.2783402006530777E-2</v>
      </c>
      <c r="K86" s="141">
        <f>J86</f>
        <v>9.2783402006530777E-2</v>
      </c>
    </row>
    <row r="87" spans="2:11" s="107" customFormat="1" ht="16.5" thickBot="1">
      <c r="B87"/>
      <c r="C87"/>
      <c r="D87"/>
      <c r="E87" s="140"/>
      <c r="F87" s="17"/>
      <c r="G87" s="139"/>
      <c r="H87" s="139"/>
      <c r="I87" s="112"/>
      <c r="J87" s="112"/>
      <c r="K87" s="112"/>
    </row>
    <row r="88" spans="2:11" s="107" customFormat="1" ht="16.5" thickBot="1">
      <c r="B88"/>
      <c r="C88"/>
      <c r="D88"/>
      <c r="E88" s="138" t="s">
        <v>10</v>
      </c>
      <c r="F88" s="137"/>
      <c r="G88" s="136">
        <v>990532</v>
      </c>
      <c r="H88" s="136">
        <v>997403</v>
      </c>
      <c r="I88" s="135">
        <f>I72-I83</f>
        <v>1006599.7631075035</v>
      </c>
      <c r="J88" s="135">
        <f>J72-J83</f>
        <v>1017995.395445015</v>
      </c>
      <c r="K88" s="135">
        <f>K72-K83</f>
        <v>1031477.4437307641</v>
      </c>
    </row>
    <row r="89" spans="2:11" s="107" customFormat="1" ht="15.75">
      <c r="B89" s="115"/>
      <c r="C89" s="115"/>
      <c r="D89"/>
      <c r="E89" s="115"/>
      <c r="F89" s="124"/>
      <c r="G89" s="123"/>
      <c r="H89" s="123"/>
      <c r="I89" s="112"/>
      <c r="J89" s="112"/>
      <c r="K89" s="112"/>
    </row>
    <row r="90" spans="2:11" s="107" customFormat="1" ht="15.75">
      <c r="B90" s="115"/>
      <c r="C90" s="115"/>
      <c r="D90"/>
      <c r="E90" s="115"/>
      <c r="F90" s="124"/>
      <c r="G90" s="123"/>
      <c r="H90" s="123"/>
      <c r="I90" s="112"/>
      <c r="J90" s="112"/>
      <c r="K90" s="112"/>
    </row>
    <row r="91" spans="2:11" s="107" customFormat="1" ht="15.75">
      <c r="B91" s="115"/>
      <c r="C91" s="115"/>
      <c r="D91"/>
      <c r="E91" s="115"/>
      <c r="F91" s="124"/>
      <c r="G91" s="123"/>
      <c r="H91" s="123"/>
      <c r="I91" s="112"/>
      <c r="J91" s="112"/>
      <c r="K91" s="112"/>
    </row>
    <row r="92" spans="2:11" s="107" customFormat="1" ht="15.75">
      <c r="B92" s="115"/>
      <c r="C92" s="115"/>
      <c r="D92"/>
      <c r="E92" s="115"/>
      <c r="F92" s="128"/>
      <c r="G92" s="123"/>
      <c r="H92" s="127"/>
      <c r="I92" s="112"/>
      <c r="J92" s="112"/>
      <c r="K92" s="112"/>
    </row>
    <row r="93" spans="2:11" s="107" customFormat="1" ht="15.75">
      <c r="B93" s="115"/>
      <c r="C93" s="115"/>
      <c r="D93"/>
      <c r="E93" s="115"/>
      <c r="F93" s="128"/>
      <c r="G93" s="123"/>
      <c r="H93" s="127"/>
      <c r="I93" s="112"/>
      <c r="J93" s="112"/>
      <c r="K93" s="112"/>
    </row>
    <row r="94" spans="2:11" s="107" customFormat="1" ht="15.75">
      <c r="B94" s="115"/>
      <c r="C94" s="115"/>
      <c r="D94"/>
      <c r="E94" s="115"/>
      <c r="F94" s="124"/>
      <c r="G94" s="127"/>
      <c r="H94" s="123"/>
      <c r="I94" s="126"/>
      <c r="J94" s="126"/>
      <c r="K94" s="126"/>
    </row>
    <row r="95" spans="2:11" s="107" customFormat="1" ht="15.75">
      <c r="B95" s="115"/>
      <c r="C95" s="115"/>
      <c r="D95"/>
      <c r="E95" s="115"/>
      <c r="F95" s="124"/>
      <c r="G95" s="123"/>
      <c r="H95" s="123"/>
      <c r="I95" s="126"/>
      <c r="J95" s="126"/>
      <c r="K95" s="126"/>
    </row>
    <row r="96" spans="2:11" s="107" customFormat="1" ht="15.75">
      <c r="B96" s="115"/>
      <c r="C96" s="115"/>
      <c r="D96"/>
      <c r="E96" s="115"/>
      <c r="F96" s="124"/>
      <c r="G96" s="123"/>
      <c r="H96" s="123"/>
      <c r="I96" s="126"/>
      <c r="J96" s="126"/>
      <c r="K96" s="126"/>
    </row>
    <row r="97" spans="1:12" s="107" customFormat="1" ht="15.75">
      <c r="B97" s="115"/>
      <c r="C97" s="115"/>
      <c r="D97"/>
      <c r="E97" s="115"/>
      <c r="F97" s="128"/>
      <c r="G97" s="127"/>
      <c r="H97" s="127"/>
      <c r="I97" s="126"/>
      <c r="J97" s="126"/>
      <c r="K97" s="126"/>
    </row>
    <row r="98" spans="1:12" s="107" customFormat="1" ht="15.75">
      <c r="B98" s="115"/>
      <c r="C98" s="115"/>
      <c r="D98"/>
      <c r="E98" s="115"/>
      <c r="F98" s="118"/>
      <c r="G98" s="117"/>
      <c r="H98" s="134"/>
      <c r="I98" s="120"/>
      <c r="J98" s="120"/>
      <c r="K98" s="120"/>
    </row>
    <row r="99" spans="1:12" s="107" customFormat="1" ht="15.75">
      <c r="B99" s="115"/>
      <c r="C99" s="115"/>
      <c r="D99"/>
      <c r="E99" s="115"/>
      <c r="F99" s="133"/>
      <c r="G99" s="117"/>
      <c r="H99" s="117"/>
      <c r="I99" s="116"/>
      <c r="J99" s="116"/>
      <c r="K99" s="116"/>
    </row>
    <row r="100" spans="1:12" s="107" customFormat="1" ht="15.75">
      <c r="B100" s="115"/>
      <c r="C100" s="115"/>
      <c r="D100" s="115"/>
      <c r="E100" s="119"/>
      <c r="F100" s="118"/>
      <c r="G100" s="117"/>
      <c r="H100" s="117"/>
      <c r="I100" s="120"/>
      <c r="J100" s="120"/>
      <c r="K100" s="120"/>
    </row>
    <row r="101" spans="1:12" s="107" customFormat="1" ht="15.75">
      <c r="B101" s="115"/>
      <c r="C101" s="115"/>
      <c r="D101" s="115"/>
      <c r="E101" s="129"/>
      <c r="F101" s="128"/>
      <c r="G101" s="127"/>
      <c r="H101" s="127"/>
      <c r="I101" s="112"/>
      <c r="J101" s="112"/>
      <c r="K101" s="112"/>
    </row>
    <row r="102" spans="1:12" ht="15.75">
      <c r="B102" s="115"/>
      <c r="C102" s="115"/>
      <c r="D102" s="115"/>
      <c r="E102" s="125"/>
      <c r="F102" s="124"/>
      <c r="G102" s="123"/>
      <c r="H102" s="127"/>
      <c r="I102" s="112"/>
      <c r="J102" s="112"/>
      <c r="K102" s="112"/>
    </row>
    <row r="103" spans="1:12" ht="15.75">
      <c r="B103" s="115"/>
      <c r="C103" s="115"/>
      <c r="D103" s="115"/>
      <c r="E103" s="125"/>
      <c r="F103" s="124"/>
      <c r="G103" s="123"/>
      <c r="H103" s="123"/>
      <c r="I103" s="126"/>
      <c r="J103" s="126"/>
      <c r="K103" s="126"/>
    </row>
    <row r="104" spans="1:12" ht="15.75">
      <c r="B104" s="115"/>
      <c r="C104" s="115"/>
      <c r="D104" s="115"/>
      <c r="E104" s="125"/>
      <c r="F104" s="128"/>
      <c r="G104" s="123"/>
      <c r="H104" s="123"/>
      <c r="I104" s="112"/>
      <c r="J104" s="112"/>
      <c r="K104" s="112"/>
    </row>
    <row r="105" spans="1:12" ht="15.75">
      <c r="B105" s="115"/>
      <c r="C105" s="115"/>
      <c r="D105" s="115"/>
      <c r="E105" s="125"/>
      <c r="F105" s="128"/>
      <c r="G105" s="123"/>
      <c r="H105" s="127"/>
      <c r="I105" s="126"/>
      <c r="J105" s="126"/>
      <c r="K105" s="126"/>
    </row>
    <row r="106" spans="1:12" ht="15.75">
      <c r="B106" s="115"/>
      <c r="C106" s="115"/>
      <c r="D106" s="115"/>
      <c r="E106" s="125"/>
      <c r="F106" s="128"/>
      <c r="G106" s="123"/>
      <c r="H106" s="127"/>
      <c r="I106" s="112"/>
      <c r="J106" s="112"/>
      <c r="K106" s="112"/>
    </row>
    <row r="107" spans="1:12" ht="15.75">
      <c r="B107" s="115"/>
      <c r="C107" s="115"/>
      <c r="D107" s="115"/>
      <c r="E107" s="125"/>
      <c r="F107" s="124"/>
      <c r="G107" s="127"/>
      <c r="H107" s="123"/>
      <c r="I107" s="126"/>
      <c r="J107" s="126"/>
      <c r="K107" s="126"/>
    </row>
    <row r="108" spans="1:12" ht="15.75">
      <c r="B108" s="115"/>
      <c r="C108" s="115"/>
      <c r="D108" s="115"/>
      <c r="E108" s="125"/>
      <c r="F108" s="128"/>
      <c r="G108" s="123"/>
      <c r="H108" s="123"/>
      <c r="I108" s="126"/>
      <c r="J108" s="126"/>
      <c r="K108" s="126"/>
    </row>
    <row r="109" spans="1:12" ht="15.75">
      <c r="B109" s="115"/>
      <c r="C109" s="115"/>
      <c r="D109" s="115"/>
      <c r="E109" s="125"/>
      <c r="F109" s="124"/>
      <c r="G109" s="123"/>
      <c r="H109" s="123"/>
      <c r="I109" s="126"/>
      <c r="J109" s="126"/>
      <c r="K109" s="126"/>
    </row>
    <row r="110" spans="1:12" s="130" customFormat="1" ht="15.75">
      <c r="A110" s="131"/>
      <c r="B110" s="132"/>
      <c r="C110" s="132"/>
      <c r="D110" s="132"/>
      <c r="E110" s="119"/>
      <c r="F110" s="118"/>
      <c r="G110" s="117"/>
      <c r="H110" s="117"/>
      <c r="I110" s="120"/>
      <c r="J110" s="120"/>
      <c r="K110" s="120"/>
      <c r="L110" s="131"/>
    </row>
    <row r="111" spans="1:12" s="130" customFormat="1" ht="15.75">
      <c r="A111" s="131"/>
      <c r="B111" s="132"/>
      <c r="C111" s="132"/>
      <c r="D111" s="132"/>
      <c r="E111" s="119"/>
      <c r="F111" s="118"/>
      <c r="G111" s="117"/>
      <c r="H111" s="117"/>
      <c r="I111" s="120"/>
      <c r="J111" s="120"/>
      <c r="K111" s="120"/>
      <c r="L111" s="131"/>
    </row>
    <row r="112" spans="1:12" ht="15.75">
      <c r="B112" s="115"/>
      <c r="C112" s="115"/>
      <c r="D112" s="115"/>
      <c r="E112" s="129"/>
      <c r="F112" s="128"/>
      <c r="G112" s="127"/>
      <c r="H112" s="127"/>
      <c r="I112" s="112"/>
      <c r="J112" s="112"/>
      <c r="K112" s="112"/>
    </row>
    <row r="113" spans="2:11" ht="15.75">
      <c r="B113" s="115"/>
      <c r="C113" s="115"/>
      <c r="D113" s="115"/>
      <c r="E113" s="125"/>
      <c r="F113" s="128"/>
      <c r="G113" s="123"/>
      <c r="H113" s="123"/>
      <c r="I113" s="112"/>
      <c r="J113" s="112"/>
      <c r="K113" s="112"/>
    </row>
    <row r="114" spans="2:11" ht="15.75">
      <c r="B114" s="115"/>
      <c r="C114" s="115"/>
      <c r="D114" s="115"/>
      <c r="E114" s="125"/>
      <c r="F114" s="124"/>
      <c r="G114" s="127"/>
      <c r="H114" s="127"/>
      <c r="I114" s="126"/>
      <c r="J114" s="126"/>
      <c r="K114" s="126"/>
    </row>
    <row r="115" spans="2:11" ht="15.75">
      <c r="B115" s="115"/>
      <c r="C115" s="115"/>
      <c r="D115" s="115"/>
      <c r="E115" s="125"/>
      <c r="F115" s="124"/>
      <c r="G115" s="123"/>
      <c r="H115" s="123"/>
      <c r="I115" s="112"/>
      <c r="J115" s="112"/>
      <c r="K115" s="112"/>
    </row>
    <row r="116" spans="2:11" ht="15.75">
      <c r="B116" s="115"/>
      <c r="C116" s="115"/>
      <c r="D116" s="115"/>
      <c r="E116" s="125"/>
      <c r="F116" s="124"/>
      <c r="G116" s="123"/>
      <c r="H116" s="123"/>
      <c r="I116" s="112"/>
      <c r="J116" s="112"/>
      <c r="K116" s="112"/>
    </row>
    <row r="117" spans="2:11" ht="15.75">
      <c r="B117" s="115"/>
      <c r="C117" s="115"/>
      <c r="D117" s="115"/>
      <c r="E117" s="125"/>
      <c r="F117" s="124"/>
      <c r="G117" s="127"/>
      <c r="H117" s="127"/>
      <c r="I117" s="112"/>
      <c r="J117" s="112"/>
      <c r="K117" s="112"/>
    </row>
    <row r="118" spans="2:11" s="107" customFormat="1" ht="15.75">
      <c r="B118" s="115"/>
      <c r="C118" s="115"/>
      <c r="D118" s="115"/>
      <c r="E118" s="125"/>
      <c r="F118" s="128"/>
      <c r="G118" s="127"/>
      <c r="H118" s="123"/>
      <c r="I118" s="112"/>
      <c r="J118" s="112"/>
      <c r="K118" s="112"/>
    </row>
    <row r="119" spans="2:11" s="107" customFormat="1" ht="15.75">
      <c r="B119" s="115"/>
      <c r="C119" s="115"/>
      <c r="D119" s="115"/>
      <c r="E119" s="125"/>
      <c r="F119" s="124"/>
      <c r="G119" s="123"/>
      <c r="H119" s="123"/>
      <c r="I119" s="112"/>
      <c r="J119" s="112"/>
      <c r="K119" s="112"/>
    </row>
    <row r="120" spans="2:11" s="107" customFormat="1" ht="15.75">
      <c r="B120" s="115"/>
      <c r="C120" s="115"/>
      <c r="D120" s="115"/>
      <c r="E120" s="125"/>
      <c r="F120" s="124"/>
      <c r="G120" s="123"/>
      <c r="H120" s="123"/>
      <c r="I120" s="112"/>
      <c r="J120" s="112"/>
      <c r="K120" s="112"/>
    </row>
    <row r="121" spans="2:11" s="107" customFormat="1" ht="15.75">
      <c r="B121" s="115"/>
      <c r="C121" s="115"/>
      <c r="D121" s="115"/>
      <c r="E121" s="125"/>
      <c r="F121" s="124"/>
      <c r="G121" s="123"/>
      <c r="H121" s="123"/>
      <c r="I121" s="126"/>
      <c r="J121" s="126"/>
      <c r="K121" s="126"/>
    </row>
    <row r="122" spans="2:11" s="107" customFormat="1" ht="15.75">
      <c r="B122" s="115"/>
      <c r="C122" s="115"/>
      <c r="D122" s="115"/>
      <c r="E122" s="125"/>
      <c r="F122" s="128"/>
      <c r="G122" s="127"/>
      <c r="H122" s="123"/>
      <c r="I122" s="112"/>
      <c r="J122" s="112"/>
      <c r="K122" s="112"/>
    </row>
    <row r="123" spans="2:11" s="107" customFormat="1" ht="15.75">
      <c r="B123" s="115"/>
      <c r="C123" s="115"/>
      <c r="D123" s="115"/>
      <c r="E123" s="119"/>
      <c r="F123" s="118"/>
      <c r="G123" s="117"/>
      <c r="H123" s="117"/>
      <c r="I123" s="120"/>
      <c r="J123" s="120"/>
      <c r="K123" s="120"/>
    </row>
    <row r="124" spans="2:11" s="107" customFormat="1" ht="15.75">
      <c r="B124" s="115"/>
      <c r="C124" s="115"/>
      <c r="D124" s="115"/>
      <c r="E124" s="125"/>
      <c r="F124" s="114"/>
      <c r="G124" s="113"/>
      <c r="H124" s="113"/>
      <c r="I124" s="126"/>
      <c r="J124" s="126"/>
      <c r="K124" s="126"/>
    </row>
    <row r="125" spans="2:11" s="107" customFormat="1" ht="15.75">
      <c r="B125" s="115"/>
      <c r="C125" s="115"/>
      <c r="D125" s="115"/>
      <c r="E125" s="125"/>
      <c r="F125" s="124"/>
      <c r="G125" s="123"/>
      <c r="H125" s="123"/>
      <c r="I125" s="112"/>
      <c r="J125" s="112"/>
      <c r="K125" s="112"/>
    </row>
    <row r="126" spans="2:11" s="107" customFormat="1" ht="15.75">
      <c r="B126" s="115"/>
      <c r="C126" s="115"/>
      <c r="D126" s="115"/>
      <c r="E126" s="119"/>
      <c r="F126" s="122"/>
      <c r="G126" s="121"/>
      <c r="H126" s="121"/>
      <c r="I126" s="120"/>
      <c r="J126" s="120"/>
      <c r="K126" s="120"/>
    </row>
    <row r="127" spans="2:11" s="107" customFormat="1" ht="15.75">
      <c r="B127" s="115"/>
      <c r="C127" s="115"/>
      <c r="D127" s="115"/>
      <c r="E127" s="119"/>
      <c r="F127" s="118"/>
      <c r="G127" s="117"/>
      <c r="H127" s="117"/>
      <c r="I127" s="116"/>
      <c r="J127" s="116"/>
      <c r="K127" s="116"/>
    </row>
    <row r="128" spans="2:11" s="107" customFormat="1" ht="15.75">
      <c r="B128" s="115"/>
      <c r="C128" s="115"/>
      <c r="D128" s="115"/>
      <c r="E128" s="114"/>
      <c r="F128" s="114"/>
      <c r="G128" s="113"/>
      <c r="H128" s="113"/>
      <c r="I128" s="112"/>
      <c r="J128" s="112"/>
      <c r="K128" s="112"/>
    </row>
    <row r="129" spans="2:11" s="107" customFormat="1" ht="15.75">
      <c r="E129" s="110"/>
      <c r="F129" s="110"/>
      <c r="G129" s="109"/>
      <c r="H129" s="109"/>
      <c r="I129" s="109"/>
      <c r="J129" s="109"/>
      <c r="K129" s="109"/>
    </row>
    <row r="130" spans="2:11" s="107" customFormat="1" ht="15.75" hidden="1">
      <c r="B130"/>
      <c r="C130"/>
      <c r="D130"/>
      <c r="E130" s="17"/>
      <c r="F130" s="17"/>
      <c r="G130" s="108"/>
      <c r="H130" s="108"/>
      <c r="I130" s="111"/>
      <c r="J130" s="111"/>
      <c r="K130" s="111"/>
    </row>
    <row r="131" spans="2:11" s="107" customFormat="1" ht="15.75" hidden="1">
      <c r="E131" s="110"/>
      <c r="F131" s="110"/>
      <c r="G131" s="109"/>
      <c r="H131" s="109"/>
      <c r="I131" s="109"/>
      <c r="J131" s="109"/>
      <c r="K131" s="109"/>
    </row>
    <row r="132" spans="2:11" s="107" customFormat="1" ht="15.75" hidden="1">
      <c r="B132"/>
      <c r="C132"/>
      <c r="D132"/>
      <c r="E132" s="17"/>
      <c r="F132" s="17"/>
      <c r="G132" s="108"/>
      <c r="H132" s="108"/>
      <c r="I132" s="111"/>
      <c r="J132" s="111"/>
      <c r="K132" s="111"/>
    </row>
    <row r="133" spans="2:11" s="107" customFormat="1" ht="15.75" hidden="1">
      <c r="B133"/>
      <c r="C133"/>
      <c r="D133"/>
      <c r="E133" s="17"/>
      <c r="F133" s="17"/>
      <c r="G133" s="108"/>
      <c r="H133" s="108"/>
      <c r="I133" s="111"/>
      <c r="J133" s="111"/>
      <c r="K133" s="111"/>
    </row>
    <row r="134" spans="2:11" s="107" customFormat="1" ht="15.75" hidden="1">
      <c r="B134"/>
      <c r="C134"/>
      <c r="D134"/>
      <c r="E134" s="17"/>
      <c r="F134" s="17"/>
      <c r="G134" s="108"/>
      <c r="H134" s="108"/>
      <c r="I134" s="111"/>
      <c r="J134" s="111"/>
      <c r="K134" s="111"/>
    </row>
    <row r="135" spans="2:11" s="107" customFormat="1" ht="15.75" hidden="1">
      <c r="B135"/>
      <c r="C135"/>
      <c r="D135"/>
      <c r="E135" s="17"/>
      <c r="F135" s="17"/>
      <c r="G135" s="108"/>
      <c r="H135" s="108"/>
      <c r="I135" s="111"/>
      <c r="J135" s="111"/>
      <c r="K135" s="111"/>
    </row>
    <row r="136" spans="2:11" s="107" customFormat="1" ht="15.75" hidden="1">
      <c r="B136"/>
      <c r="C136"/>
      <c r="D136"/>
      <c r="E136" s="17"/>
      <c r="F136" s="17"/>
      <c r="G136" s="108"/>
      <c r="H136" s="108"/>
      <c r="I136" s="111"/>
      <c r="J136" s="111"/>
      <c r="K136" s="111"/>
    </row>
    <row r="137" spans="2:11" s="107" customFormat="1" ht="15.75" hidden="1">
      <c r="B137"/>
      <c r="C137"/>
      <c r="D137"/>
      <c r="E137" s="17"/>
      <c r="F137" s="17"/>
      <c r="G137" s="108"/>
      <c r="H137" s="108"/>
      <c r="I137" s="111"/>
      <c r="J137" s="111"/>
      <c r="K137" s="111"/>
    </row>
    <row r="138" spans="2:11" s="107" customFormat="1" ht="15.75" hidden="1">
      <c r="B138"/>
      <c r="C138"/>
      <c r="D138"/>
      <c r="E138" s="17"/>
      <c r="F138" s="17"/>
      <c r="G138" s="108"/>
      <c r="H138" s="108"/>
      <c r="I138" s="111"/>
      <c r="J138" s="111"/>
      <c r="K138" s="111"/>
    </row>
    <row r="139" spans="2:11" s="107" customFormat="1" ht="15.75" hidden="1">
      <c r="B139"/>
      <c r="C139"/>
      <c r="D139"/>
      <c r="E139" s="17"/>
      <c r="F139" s="17"/>
      <c r="G139" s="108"/>
      <c r="H139" s="108"/>
      <c r="I139" s="111"/>
      <c r="J139" s="111"/>
      <c r="K139" s="111"/>
    </row>
    <row r="140" spans="2:11" s="107" customFormat="1" ht="15.75" hidden="1">
      <c r="B140"/>
      <c r="C140"/>
      <c r="D140"/>
      <c r="E140" s="17"/>
      <c r="F140" s="17"/>
      <c r="G140" s="108"/>
      <c r="H140" s="108"/>
      <c r="I140" s="111"/>
      <c r="J140" s="111"/>
      <c r="K140" s="111"/>
    </row>
    <row r="141" spans="2:11" s="107" customFormat="1" ht="15.75" hidden="1">
      <c r="B141"/>
      <c r="C141"/>
      <c r="D141"/>
      <c r="E141" s="17"/>
      <c r="F141" s="17"/>
      <c r="G141" s="108"/>
      <c r="H141" s="108"/>
      <c r="I141" s="111"/>
      <c r="J141" s="111"/>
      <c r="K141" s="111"/>
    </row>
    <row r="142" spans="2:11" s="107" customFormat="1" ht="15.75" hidden="1">
      <c r="B142"/>
      <c r="C142"/>
      <c r="D142"/>
      <c r="E142" s="17"/>
      <c r="F142" s="17"/>
      <c r="G142" s="108"/>
      <c r="H142" s="108"/>
      <c r="I142" s="111"/>
      <c r="J142" s="111"/>
      <c r="K142" s="111"/>
    </row>
    <row r="143" spans="2:11" s="107" customFormat="1" ht="15.75" hidden="1">
      <c r="B143"/>
      <c r="C143"/>
      <c r="D143"/>
      <c r="E143" s="17"/>
      <c r="F143" s="17"/>
      <c r="G143" s="108"/>
      <c r="H143" s="108"/>
      <c r="I143" s="111"/>
      <c r="J143" s="111"/>
      <c r="K143" s="111"/>
    </row>
    <row r="144" spans="2:11" s="107" customFormat="1" ht="15.75" hidden="1">
      <c r="B144"/>
      <c r="C144"/>
      <c r="D144"/>
      <c r="E144" s="17"/>
      <c r="F144" s="17"/>
      <c r="G144" s="108"/>
      <c r="H144" s="108"/>
      <c r="I144" s="111"/>
      <c r="J144" s="111"/>
      <c r="K144" s="111"/>
    </row>
    <row r="145" spans="2:11" s="107" customFormat="1" ht="15.75" hidden="1">
      <c r="B145"/>
      <c r="C145"/>
      <c r="D145"/>
      <c r="E145" s="17"/>
      <c r="F145" s="17"/>
      <c r="G145" s="108"/>
      <c r="H145" s="108"/>
      <c r="I145" s="111"/>
      <c r="J145" s="111"/>
      <c r="K145" s="111"/>
    </row>
    <row r="146" spans="2:11" s="107" customFormat="1" ht="15.75" hidden="1">
      <c r="B146"/>
      <c r="C146"/>
      <c r="D146"/>
      <c r="E146" s="17"/>
      <c r="F146" s="17"/>
      <c r="G146" s="108"/>
      <c r="H146" s="108"/>
      <c r="I146" s="111"/>
      <c r="J146" s="111"/>
      <c r="K146" s="111"/>
    </row>
    <row r="147" spans="2:11" s="107" customFormat="1" ht="15.75" hidden="1">
      <c r="B147"/>
      <c r="C147"/>
      <c r="D147"/>
      <c r="E147" s="17"/>
      <c r="F147" s="17"/>
      <c r="G147" s="108"/>
      <c r="H147" s="108"/>
      <c r="I147" s="111"/>
      <c r="J147" s="111"/>
      <c r="K147" s="111"/>
    </row>
    <row r="148" spans="2:11" s="107" customFormat="1" ht="15.75" hidden="1">
      <c r="B148"/>
      <c r="C148"/>
      <c r="D148"/>
      <c r="E148" s="17"/>
      <c r="F148" s="17"/>
      <c r="G148" s="108"/>
      <c r="H148" s="108"/>
      <c r="I148" s="111"/>
      <c r="J148" s="111"/>
      <c r="K148" s="111"/>
    </row>
    <row r="149" spans="2:11" s="107" customFormat="1" ht="15.75" hidden="1">
      <c r="B149"/>
      <c r="C149"/>
      <c r="D149"/>
      <c r="E149" s="17"/>
      <c r="F149" s="17"/>
      <c r="G149" s="108"/>
      <c r="H149" s="108"/>
      <c r="I149" s="111"/>
      <c r="J149" s="111"/>
      <c r="K149" s="111"/>
    </row>
    <row r="150" spans="2:11" s="107" customFormat="1" ht="15.75" hidden="1">
      <c r="B150"/>
      <c r="C150"/>
      <c r="D150"/>
      <c r="E150" s="17"/>
      <c r="F150" s="17"/>
      <c r="G150" s="108"/>
      <c r="H150" s="108"/>
      <c r="I150" s="111"/>
      <c r="J150" s="111"/>
      <c r="K150" s="111"/>
    </row>
    <row r="151" spans="2:11" s="107" customFormat="1" ht="15.75" hidden="1">
      <c r="B151"/>
      <c r="C151"/>
      <c r="D151"/>
      <c r="E151" s="17"/>
      <c r="F151" s="17"/>
      <c r="G151" s="108"/>
      <c r="H151" s="108"/>
      <c r="I151" s="111"/>
      <c r="J151" s="111"/>
      <c r="K151" s="111"/>
    </row>
    <row r="152" spans="2:11" s="107" customFormat="1" ht="15.75" hidden="1">
      <c r="B152"/>
      <c r="C152"/>
      <c r="D152"/>
      <c r="E152" s="17"/>
      <c r="F152" s="17"/>
      <c r="G152" s="108"/>
      <c r="H152" s="108"/>
      <c r="I152" s="111"/>
      <c r="J152" s="111"/>
      <c r="K152" s="111"/>
    </row>
    <row r="153" spans="2:11" s="107" customFormat="1" ht="15.75" hidden="1">
      <c r="B153"/>
      <c r="C153"/>
      <c r="D153"/>
      <c r="E153" s="17"/>
      <c r="F153" s="17"/>
      <c r="G153" s="108"/>
      <c r="H153" s="108"/>
      <c r="I153" s="111"/>
      <c r="J153" s="111"/>
      <c r="K153" s="111"/>
    </row>
    <row r="154" spans="2:11" s="107" customFormat="1" ht="15.75" hidden="1">
      <c r="B154"/>
      <c r="C154"/>
      <c r="D154"/>
      <c r="E154" s="17"/>
      <c r="F154" s="17"/>
      <c r="G154" s="108"/>
      <c r="H154" s="108"/>
      <c r="I154" s="111"/>
      <c r="J154" s="111"/>
      <c r="K154" s="111"/>
    </row>
    <row r="155" spans="2:11" s="107" customFormat="1" ht="15.75" hidden="1">
      <c r="B155"/>
      <c r="C155"/>
      <c r="D155"/>
      <c r="E155" s="17"/>
      <c r="F155" s="17"/>
      <c r="G155" s="108"/>
      <c r="H155" s="108"/>
      <c r="I155" s="111"/>
      <c r="J155" s="111"/>
      <c r="K155" s="111"/>
    </row>
    <row r="156" spans="2:11" s="107" customFormat="1" ht="15.75" hidden="1">
      <c r="B156"/>
      <c r="C156"/>
      <c r="D156"/>
      <c r="E156" s="17"/>
      <c r="F156" s="17"/>
      <c r="G156" s="108"/>
      <c r="H156" s="108"/>
      <c r="I156" s="111"/>
      <c r="J156" s="111"/>
      <c r="K156" s="111"/>
    </row>
    <row r="157" spans="2:11" s="107" customFormat="1" ht="15.75" hidden="1">
      <c r="B157"/>
      <c r="C157"/>
      <c r="D157"/>
      <c r="E157" s="17"/>
      <c r="F157" s="17"/>
      <c r="G157" s="108"/>
      <c r="H157" s="108"/>
      <c r="I157" s="111"/>
      <c r="J157" s="111"/>
      <c r="K157" s="111"/>
    </row>
    <row r="158" spans="2:11" s="107" customFormat="1" ht="15.75" hidden="1">
      <c r="B158"/>
      <c r="C158"/>
      <c r="D158"/>
      <c r="E158" s="17"/>
      <c r="F158" s="17"/>
      <c r="G158" s="108"/>
      <c r="H158" s="108"/>
      <c r="I158" s="111"/>
      <c r="J158" s="111"/>
      <c r="K158" s="111"/>
    </row>
    <row r="159" spans="2:11" s="107" customFormat="1" ht="15.75" hidden="1">
      <c r="B159"/>
      <c r="C159"/>
      <c r="D159"/>
      <c r="E159" s="17"/>
      <c r="F159" s="17"/>
      <c r="G159" s="108"/>
      <c r="H159" s="108"/>
      <c r="I159" s="111"/>
      <c r="J159" s="111"/>
      <c r="K159" s="111"/>
    </row>
    <row r="160" spans="2:11" s="107" customFormat="1" ht="15.75" hidden="1">
      <c r="B160"/>
      <c r="C160"/>
      <c r="D160"/>
      <c r="E160" s="17"/>
      <c r="F160" s="17"/>
      <c r="G160" s="108"/>
      <c r="H160" s="108"/>
      <c r="I160" s="111"/>
      <c r="J160" s="111"/>
      <c r="K160" s="111"/>
    </row>
    <row r="161" spans="2:11" s="107" customFormat="1" ht="15.75" hidden="1">
      <c r="B161"/>
      <c r="C161"/>
      <c r="D161"/>
      <c r="E161" s="17"/>
      <c r="F161" s="17"/>
      <c r="G161" s="108"/>
      <c r="H161" s="108"/>
      <c r="I161" s="111"/>
      <c r="J161" s="111"/>
      <c r="K161" s="111"/>
    </row>
    <row r="162" spans="2:11" s="107" customFormat="1" ht="15.75" hidden="1">
      <c r="B162"/>
      <c r="C162"/>
      <c r="D162"/>
      <c r="E162" s="17"/>
      <c r="F162" s="17"/>
      <c r="G162" s="108"/>
      <c r="H162" s="108"/>
      <c r="I162" s="111"/>
      <c r="J162" s="111"/>
      <c r="K162" s="111"/>
    </row>
    <row r="163" spans="2:11" s="107" customFormat="1" ht="15.75" hidden="1">
      <c r="B163"/>
      <c r="C163"/>
      <c r="D163"/>
      <c r="E163" s="17"/>
      <c r="F163" s="17"/>
      <c r="G163" s="108"/>
      <c r="H163" s="108"/>
      <c r="I163" s="111"/>
      <c r="J163" s="111"/>
      <c r="K163" s="111"/>
    </row>
    <row r="164" spans="2:11" s="107" customFormat="1" ht="15.75" hidden="1">
      <c r="B164"/>
      <c r="C164"/>
      <c r="D164"/>
      <c r="E164" s="17"/>
      <c r="F164" s="17"/>
      <c r="G164" s="108"/>
      <c r="H164" s="108"/>
      <c r="I164" s="111"/>
      <c r="J164" s="111"/>
      <c r="K164" s="111"/>
    </row>
    <row r="165" spans="2:11" s="107" customFormat="1" ht="15.75" hidden="1">
      <c r="B165"/>
      <c r="C165"/>
      <c r="D165"/>
      <c r="E165" s="17"/>
      <c r="F165" s="17"/>
      <c r="G165" s="108"/>
      <c r="H165" s="108"/>
      <c r="I165" s="111"/>
      <c r="J165" s="111"/>
      <c r="K165" s="111"/>
    </row>
    <row r="166" spans="2:11" s="107" customFormat="1" ht="15.75" hidden="1">
      <c r="B166"/>
      <c r="C166"/>
      <c r="D166"/>
      <c r="E166" s="17"/>
      <c r="F166" s="17"/>
      <c r="G166" s="108"/>
      <c r="H166" s="108"/>
      <c r="I166" s="111"/>
      <c r="J166" s="111"/>
      <c r="K166" s="111"/>
    </row>
    <row r="167" spans="2:11" s="107" customFormat="1" ht="15.75" hidden="1">
      <c r="B167"/>
      <c r="C167"/>
      <c r="D167"/>
      <c r="E167" s="17"/>
      <c r="F167" s="17"/>
      <c r="G167" s="108"/>
      <c r="H167" s="108"/>
      <c r="I167" s="111"/>
      <c r="J167" s="111"/>
      <c r="K167" s="111"/>
    </row>
    <row r="168" spans="2:11" s="107" customFormat="1" ht="15.75" hidden="1">
      <c r="B168"/>
      <c r="C168"/>
      <c r="D168"/>
      <c r="E168" s="17"/>
      <c r="F168" s="17"/>
      <c r="G168" s="108"/>
      <c r="H168" s="108"/>
      <c r="I168" s="111"/>
      <c r="J168" s="111"/>
      <c r="K168" s="111"/>
    </row>
    <row r="169" spans="2:11" s="107" customFormat="1" ht="15.75" hidden="1">
      <c r="B169"/>
      <c r="C169"/>
      <c r="D169"/>
      <c r="E169" s="17"/>
      <c r="F169" s="17"/>
      <c r="G169" s="108"/>
      <c r="H169" s="108"/>
      <c r="I169" s="111"/>
      <c r="J169" s="111"/>
      <c r="K169" s="111"/>
    </row>
    <row r="170" spans="2:11" s="107" customFormat="1" ht="15.75" hidden="1">
      <c r="B170"/>
      <c r="C170"/>
      <c r="D170"/>
      <c r="E170" s="17"/>
      <c r="F170" s="17"/>
      <c r="G170" s="108"/>
      <c r="H170" s="108"/>
      <c r="I170" s="111"/>
      <c r="J170" s="111"/>
      <c r="K170" s="111"/>
    </row>
    <row r="171" spans="2:11" s="107" customFormat="1" ht="15.75" hidden="1">
      <c r="B171"/>
      <c r="C171"/>
      <c r="D171"/>
      <c r="E171" s="17"/>
      <c r="F171" s="17"/>
      <c r="G171" s="108"/>
      <c r="H171" s="108"/>
      <c r="I171" s="111"/>
      <c r="J171" s="111"/>
      <c r="K171" s="111"/>
    </row>
    <row r="172" spans="2:11" s="107" customFormat="1" ht="15.75" hidden="1">
      <c r="B172"/>
      <c r="C172"/>
      <c r="D172"/>
      <c r="E172" s="17"/>
      <c r="F172" s="17"/>
      <c r="G172" s="108"/>
      <c r="H172" s="108"/>
      <c r="I172" s="111"/>
      <c r="J172" s="111"/>
      <c r="K172" s="111"/>
    </row>
    <row r="173" spans="2:11" s="107" customFormat="1" ht="15.75" hidden="1">
      <c r="E173" s="110"/>
      <c r="F173" s="110"/>
      <c r="G173" s="109"/>
      <c r="H173" s="109"/>
      <c r="I173" s="109"/>
      <c r="J173" s="109"/>
      <c r="K173" s="109"/>
    </row>
    <row r="174" spans="2:11" s="107" customFormat="1" ht="14.45" hidden="1" customHeight="1">
      <c r="B174"/>
      <c r="C174"/>
      <c r="D174"/>
      <c r="E174" s="17"/>
      <c r="F174" s="17"/>
      <c r="G174" s="108"/>
      <c r="H174" s="108"/>
      <c r="I174" s="108"/>
      <c r="J174" s="108"/>
      <c r="K174" s="108"/>
    </row>
    <row r="175" spans="2:11" s="107" customFormat="1" ht="14.45" hidden="1" customHeight="1">
      <c r="B175"/>
      <c r="C175"/>
      <c r="D175"/>
      <c r="E175" s="17"/>
      <c r="F175" s="17"/>
      <c r="G175" s="108"/>
      <c r="H175" s="108"/>
      <c r="I175" s="108"/>
      <c r="J175" s="108"/>
      <c r="K175" s="108"/>
    </row>
    <row r="176" spans="2:11" s="107" customFormat="1" ht="14.45" hidden="1" customHeight="1">
      <c r="B176"/>
      <c r="C176"/>
      <c r="D176"/>
      <c r="E176" s="17"/>
      <c r="F176" s="17"/>
      <c r="G176" s="108"/>
      <c r="H176" s="108"/>
      <c r="I176" s="108"/>
      <c r="J176" s="108"/>
      <c r="K176" s="108"/>
    </row>
    <row r="177" spans="2:11" s="107" customFormat="1" ht="14.45" hidden="1" customHeight="1">
      <c r="B177"/>
      <c r="C177"/>
      <c r="D177"/>
      <c r="E177" s="17"/>
      <c r="F177" s="17"/>
      <c r="G177" s="108"/>
      <c r="H177" s="108"/>
      <c r="I177" s="108"/>
      <c r="J177" s="108"/>
      <c r="K177" s="108"/>
    </row>
    <row r="178" spans="2:11" s="107" customFormat="1" ht="14.45" hidden="1" customHeight="1">
      <c r="B178"/>
      <c r="C178"/>
      <c r="D178"/>
      <c r="E178" s="17"/>
      <c r="F178" s="17"/>
      <c r="G178" s="108"/>
      <c r="H178" s="108"/>
      <c r="I178" s="108"/>
      <c r="J178" s="108"/>
      <c r="K178" s="108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G15"/>
  <sheetViews>
    <sheetView workbookViewId="0">
      <selection activeCell="E11" sqref="E11:F11"/>
    </sheetView>
  </sheetViews>
  <sheetFormatPr defaultRowHeight="15"/>
  <cols>
    <col min="3" max="4" width="23.28515625" customWidth="1"/>
  </cols>
  <sheetData>
    <row r="2" spans="1:7" ht="38.25">
      <c r="A2" s="172" t="s">
        <v>166</v>
      </c>
      <c r="B2" s="251" t="s">
        <v>165</v>
      </c>
      <c r="E2" s="250">
        <v>43464</v>
      </c>
      <c r="F2" s="250">
        <v>43828</v>
      </c>
    </row>
    <row r="3" spans="1:7">
      <c r="A3" s="169"/>
      <c r="C3" s="249" t="s">
        <v>140</v>
      </c>
      <c r="D3" s="249"/>
      <c r="E3" s="248">
        <v>78242</v>
      </c>
      <c r="F3" s="248">
        <v>76860</v>
      </c>
    </row>
    <row r="4" spans="1:7">
      <c r="A4" s="148" t="s">
        <v>164</v>
      </c>
      <c r="B4" s="166">
        <f>1/AVERAGE(8,50)</f>
        <v>3.4482758620689655E-2</v>
      </c>
      <c r="C4" s="140" t="s">
        <v>143</v>
      </c>
      <c r="D4" s="140"/>
      <c r="E4" s="13">
        <v>218846</v>
      </c>
      <c r="F4" s="13">
        <v>223500</v>
      </c>
    </row>
    <row r="5" spans="1:7">
      <c r="A5" s="148" t="s">
        <v>161</v>
      </c>
      <c r="B5" s="166">
        <f>1/AVERAGE(5,20)</f>
        <v>0.08</v>
      </c>
      <c r="C5" s="140" t="s">
        <v>144</v>
      </c>
      <c r="D5" s="140"/>
      <c r="E5" s="13">
        <v>328034</v>
      </c>
      <c r="F5" s="13">
        <v>355575</v>
      </c>
    </row>
    <row r="6" spans="1:7">
      <c r="A6" s="148" t="s">
        <v>163</v>
      </c>
      <c r="B6" s="166">
        <f>1/AVERAGE(4,20)</f>
        <v>8.3333333333333329E-2</v>
      </c>
      <c r="C6" s="140" t="s">
        <v>145</v>
      </c>
      <c r="D6" s="140"/>
      <c r="E6" s="13">
        <v>372895</v>
      </c>
      <c r="F6" s="13">
        <v>417532</v>
      </c>
    </row>
    <row r="7" spans="1:7">
      <c r="A7" s="148" t="s">
        <v>160</v>
      </c>
      <c r="B7" s="166">
        <f>1/AVERAGE(3,10)</f>
        <v>0.15384615384615385</v>
      </c>
      <c r="C7" s="140" t="s">
        <v>146</v>
      </c>
      <c r="D7" s="140"/>
      <c r="E7" s="13">
        <v>89439</v>
      </c>
      <c r="F7" s="13">
        <v>92059</v>
      </c>
    </row>
    <row r="8" spans="1:7" ht="25.5">
      <c r="A8" s="148" t="s">
        <v>162</v>
      </c>
      <c r="B8" s="166">
        <f>1/AVERAGE(5,17)</f>
        <v>9.0909090909090912E-2</v>
      </c>
      <c r="C8" s="140" t="s">
        <v>147</v>
      </c>
      <c r="D8" s="140"/>
      <c r="E8" s="13">
        <v>491161</v>
      </c>
      <c r="F8" s="13">
        <v>489050</v>
      </c>
    </row>
    <row r="9" spans="1:7" ht="25.5">
      <c r="A9" s="148" t="s">
        <v>161</v>
      </c>
      <c r="B9" s="166">
        <f>1/AVERAGE(5,20)</f>
        <v>0.08</v>
      </c>
      <c r="C9" s="140" t="s">
        <v>148</v>
      </c>
      <c r="D9" s="140"/>
      <c r="E9" s="13">
        <v>132837</v>
      </c>
      <c r="F9" s="13">
        <v>145341</v>
      </c>
    </row>
    <row r="10" spans="1:7">
      <c r="A10" s="148" t="s">
        <v>160</v>
      </c>
      <c r="B10" s="166">
        <f>1/AVERAGE(3,10)</f>
        <v>0.15384615384615385</v>
      </c>
      <c r="C10" s="140" t="s">
        <v>149</v>
      </c>
      <c r="D10" s="140"/>
      <c r="E10" s="13">
        <v>122604</v>
      </c>
      <c r="F10" s="13">
        <v>128792</v>
      </c>
    </row>
    <row r="11" spans="1:7">
      <c r="A11" s="148"/>
      <c r="C11" s="140" t="s">
        <v>159</v>
      </c>
      <c r="D11" s="140"/>
      <c r="E11" s="247">
        <v>15142</v>
      </c>
      <c r="F11" s="247">
        <v>29369</v>
      </c>
    </row>
    <row r="12" spans="1:7" ht="25.5">
      <c r="A12" s="148"/>
      <c r="C12" s="140" t="s">
        <v>150</v>
      </c>
      <c r="D12" s="140"/>
      <c r="E12" s="248">
        <v>1849200</v>
      </c>
      <c r="F12" s="248">
        <v>1958078</v>
      </c>
    </row>
    <row r="13" spans="1:7" ht="38.25">
      <c r="C13" s="140" t="s">
        <v>151</v>
      </c>
      <c r="D13" s="140"/>
      <c r="E13" s="247">
        <v>858668</v>
      </c>
      <c r="F13" s="247">
        <v>960675</v>
      </c>
      <c r="G13" s="148"/>
    </row>
    <row r="14" spans="1:7" ht="26.25" thickBot="1">
      <c r="C14" s="147" t="s">
        <v>10</v>
      </c>
      <c r="D14" s="147"/>
      <c r="E14" s="246">
        <v>990532</v>
      </c>
      <c r="F14" s="246">
        <v>997403</v>
      </c>
      <c r="G14" s="245"/>
    </row>
    <row r="15" spans="1:7" ht="15.75" thickTop="1">
      <c r="C15" s="244"/>
      <c r="D15" s="244"/>
      <c r="E15" s="241"/>
      <c r="F15" s="241"/>
      <c r="G15" s="241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61"/>
  <sheetViews>
    <sheetView topLeftCell="A46" workbookViewId="0">
      <selection activeCell="I64" sqref="I64"/>
    </sheetView>
  </sheetViews>
  <sheetFormatPr defaultColWidth="0" defaultRowHeight="15" zeroHeight="1"/>
  <cols>
    <col min="1" max="1" width="3.5703125" style="107" customWidth="1"/>
    <col min="2" max="2" width="3.5703125" customWidth="1"/>
    <col min="3" max="4" width="15.7109375" customWidth="1"/>
    <col min="5" max="5" width="40.5703125" customWidth="1"/>
    <col min="6" max="7" width="9.5703125" customWidth="1"/>
    <col min="8" max="8" width="12.7109375" customWidth="1"/>
    <col min="9" max="12" width="9.5703125" customWidth="1"/>
    <col min="13" max="16384" width="8.7109375" hidden="1"/>
  </cols>
  <sheetData>
    <row r="1" spans="2:12" s="107" customFormat="1"/>
    <row r="2" spans="2:12">
      <c r="B2" s="180" t="str">
        <f>COMPANY_NAME</f>
        <v>Coca-Cola Bottling Co. Consolidated (COKE)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2:12">
      <c r="B3" s="180"/>
      <c r="C3" s="180"/>
      <c r="D3" s="180"/>
      <c r="E3" s="180"/>
      <c r="F3" s="183"/>
      <c r="G3" s="183" t="s">
        <v>168</v>
      </c>
      <c r="H3" s="183"/>
      <c r="I3" s="180"/>
      <c r="J3" s="180"/>
      <c r="K3" s="180"/>
      <c r="L3" s="180"/>
    </row>
    <row r="4" spans="2:12">
      <c r="B4" s="180" t="str">
        <f>CURRENCY</f>
        <v>(in thousands, except per share data)</v>
      </c>
      <c r="C4" s="180"/>
      <c r="D4" s="180"/>
      <c r="E4" s="180"/>
      <c r="F4" s="179">
        <f>EDATE(G4,-12)</f>
        <v>43070</v>
      </c>
      <c r="G4" s="179">
        <f>EDATE(H4,-12)</f>
        <v>43435</v>
      </c>
      <c r="H4" s="179">
        <f>LHY</f>
        <v>43800</v>
      </c>
      <c r="I4" s="243">
        <f>EDATE(H4,12)</f>
        <v>44166</v>
      </c>
      <c r="J4" s="243">
        <f>EDATE(I4,12)</f>
        <v>44531</v>
      </c>
      <c r="K4" s="243">
        <f>EDATE(J4,12)</f>
        <v>44896</v>
      </c>
      <c r="L4" s="243">
        <f>EDATE(K4,12)</f>
        <v>45261</v>
      </c>
    </row>
    <row r="5" spans="2:12">
      <c r="I5" s="220"/>
      <c r="J5" s="220"/>
      <c r="K5" s="220"/>
      <c r="L5" s="220"/>
    </row>
    <row r="6" spans="2:12">
      <c r="C6" s="218" t="s">
        <v>194</v>
      </c>
      <c r="D6" s="19" t="s">
        <v>193</v>
      </c>
      <c r="E6" s="217" t="s">
        <v>192</v>
      </c>
      <c r="G6" s="19"/>
      <c r="H6" s="19"/>
      <c r="I6" s="220"/>
      <c r="J6" s="220"/>
      <c r="K6" s="220"/>
      <c r="L6" s="220"/>
    </row>
    <row r="7" spans="2:12">
      <c r="C7" s="215" t="s">
        <v>189</v>
      </c>
      <c r="D7" s="213" t="s">
        <v>188</v>
      </c>
      <c r="E7" s="214"/>
      <c r="G7" s="213">
        <v>2018</v>
      </c>
      <c r="H7" s="213">
        <v>2019</v>
      </c>
      <c r="I7" s="220"/>
      <c r="J7" s="220"/>
      <c r="K7" s="220"/>
      <c r="L7" s="220"/>
    </row>
    <row r="8" spans="2:12" s="107" customFormat="1" ht="15.75">
      <c r="B8"/>
      <c r="C8" s="228">
        <v>43570</v>
      </c>
      <c r="D8" s="242">
        <v>7.0000000000000007E-2</v>
      </c>
      <c r="E8" s="226" t="s">
        <v>186</v>
      </c>
      <c r="F8"/>
      <c r="G8" s="241"/>
      <c r="H8" s="14" t="s">
        <v>27</v>
      </c>
      <c r="I8" s="220"/>
      <c r="J8" s="220"/>
      <c r="K8" s="220"/>
      <c r="L8" s="220"/>
    </row>
    <row r="9" spans="2:12" s="107" customFormat="1">
      <c r="B9"/>
      <c r="C9" s="198"/>
      <c r="D9" s="239"/>
      <c r="E9" s="11" t="s">
        <v>141</v>
      </c>
      <c r="F9"/>
      <c r="G9" s="12"/>
      <c r="H9" s="12">
        <f>G11</f>
        <v>110000</v>
      </c>
      <c r="I9" s="12">
        <f>H11</f>
        <v>0</v>
      </c>
      <c r="J9" s="12">
        <f>I11</f>
        <v>0</v>
      </c>
      <c r="K9" s="12">
        <f>J11</f>
        <v>0</v>
      </c>
      <c r="L9" s="12">
        <f>K11</f>
        <v>0</v>
      </c>
    </row>
    <row r="10" spans="2:12" s="107" customFormat="1">
      <c r="B10"/>
      <c r="C10" s="198"/>
      <c r="D10" s="239"/>
      <c r="E10" s="11" t="s">
        <v>201</v>
      </c>
      <c r="F10"/>
      <c r="G10" s="12"/>
      <c r="H10" s="12">
        <v>-110000</v>
      </c>
      <c r="I10" s="220"/>
      <c r="J10" s="220"/>
      <c r="K10" s="220"/>
      <c r="L10" s="220"/>
    </row>
    <row r="11" spans="2:12" s="107" customFormat="1">
      <c r="B11"/>
      <c r="C11" s="198"/>
      <c r="D11" s="239"/>
      <c r="E11" s="233" t="s">
        <v>142</v>
      </c>
      <c r="F11" s="161"/>
      <c r="G11" s="232">
        <v>110000</v>
      </c>
      <c r="H11" s="232">
        <f>SUM(H9:H10)</f>
        <v>0</v>
      </c>
      <c r="I11" s="232">
        <f>SUM(I9:I10)</f>
        <v>0</v>
      </c>
      <c r="J11" s="232">
        <f>SUM(J9:J10)</f>
        <v>0</v>
      </c>
      <c r="K11" s="232">
        <f>SUM(K9:K10)</f>
        <v>0</v>
      </c>
      <c r="L11" s="232">
        <f>SUM(L9:L10)</f>
        <v>0</v>
      </c>
    </row>
    <row r="12" spans="2:12" s="107" customFormat="1">
      <c r="B12"/>
      <c r="C12" s="198"/>
      <c r="D12" s="239"/>
      <c r="E12" s="11"/>
      <c r="F12"/>
      <c r="G12" s="12"/>
      <c r="H12" s="14"/>
      <c r="I12" s="220"/>
      <c r="J12" s="220"/>
      <c r="K12" s="220"/>
      <c r="L12" s="220"/>
    </row>
    <row r="13" spans="2:12" s="107" customFormat="1">
      <c r="B13"/>
      <c r="C13" s="198"/>
      <c r="D13" s="239"/>
      <c r="E13" s="231" t="s">
        <v>200</v>
      </c>
      <c r="F13" s="230"/>
      <c r="G13" s="229">
        <f>G11*$D8</f>
        <v>7700.0000000000009</v>
      </c>
      <c r="H13" s="240"/>
      <c r="I13" s="238"/>
      <c r="J13" s="238"/>
      <c r="K13" s="237"/>
      <c r="L13" s="220"/>
    </row>
    <row r="14" spans="2:12" s="107" customFormat="1">
      <c r="B14"/>
      <c r="C14" s="198"/>
      <c r="D14" s="239"/>
      <c r="E14" s="11"/>
      <c r="F14"/>
      <c r="G14" s="12"/>
      <c r="H14" s="14"/>
      <c r="I14" s="220"/>
      <c r="J14" s="220"/>
      <c r="K14" s="220"/>
      <c r="L14" s="220"/>
    </row>
    <row r="15" spans="2:12" s="107" customFormat="1" ht="15.75">
      <c r="B15"/>
      <c r="C15" s="228">
        <v>44354</v>
      </c>
      <c r="D15" s="235">
        <v>0.04</v>
      </c>
      <c r="E15" s="226" t="s">
        <v>184</v>
      </c>
      <c r="F15"/>
      <c r="G15" s="12"/>
      <c r="H15" s="12"/>
      <c r="I15" s="220"/>
      <c r="J15" s="220"/>
      <c r="K15" s="220"/>
      <c r="L15" s="220"/>
    </row>
    <row r="16" spans="2:12" s="107" customFormat="1">
      <c r="B16"/>
      <c r="C16" s="198"/>
      <c r="D16" s="11"/>
      <c r="E16" s="11" t="s">
        <v>141</v>
      </c>
      <c r="F16"/>
      <c r="G16" s="12"/>
      <c r="H16" s="12">
        <f>G18</f>
        <v>292500</v>
      </c>
      <c r="I16" s="12">
        <f>H18</f>
        <v>262500</v>
      </c>
      <c r="J16" s="12">
        <f>I18</f>
        <v>217500</v>
      </c>
      <c r="K16" s="12">
        <f>J18</f>
        <v>0</v>
      </c>
      <c r="L16" s="12">
        <f>K18</f>
        <v>0</v>
      </c>
    </row>
    <row r="17" spans="2:12" s="107" customFormat="1">
      <c r="B17"/>
      <c r="C17" s="198"/>
      <c r="D17" s="11"/>
      <c r="E17" s="11" t="s">
        <v>201</v>
      </c>
      <c r="F17"/>
      <c r="G17" s="12"/>
      <c r="H17" s="12">
        <f>H18-H16</f>
        <v>-30000</v>
      </c>
      <c r="I17" s="220">
        <v>-45000</v>
      </c>
      <c r="J17" s="220">
        <v>-217500</v>
      </c>
      <c r="K17" s="220"/>
      <c r="L17" s="220"/>
    </row>
    <row r="18" spans="2:12" s="107" customFormat="1">
      <c r="B18"/>
      <c r="C18" s="198"/>
      <c r="D18" s="11"/>
      <c r="E18" s="233" t="s">
        <v>142</v>
      </c>
      <c r="F18" s="161"/>
      <c r="G18" s="232">
        <v>292500</v>
      </c>
      <c r="H18" s="232">
        <v>262500</v>
      </c>
      <c r="I18" s="232">
        <f>SUM(I16:I17)</f>
        <v>217500</v>
      </c>
      <c r="J18" s="232">
        <f>SUM(J16:J17)</f>
        <v>0</v>
      </c>
      <c r="K18" s="232">
        <f>SUM(K16:K17)</f>
        <v>0</v>
      </c>
      <c r="L18" s="232">
        <f>SUM(L16:L17)</f>
        <v>0</v>
      </c>
    </row>
    <row r="19" spans="2:12" s="107" customFormat="1">
      <c r="B19"/>
      <c r="C19" s="198"/>
      <c r="D19" s="11"/>
      <c r="E19" s="11"/>
      <c r="F19"/>
      <c r="G19" s="12"/>
      <c r="H19" s="14"/>
      <c r="I19" s="220"/>
      <c r="J19" s="220"/>
      <c r="K19" s="220"/>
      <c r="L19" s="220"/>
    </row>
    <row r="20" spans="2:12" s="107" customFormat="1">
      <c r="B20"/>
      <c r="C20" s="198"/>
      <c r="D20" s="11"/>
      <c r="E20" s="231" t="s">
        <v>200</v>
      </c>
      <c r="F20" s="230"/>
      <c r="G20" s="229">
        <f>G18*$D15</f>
        <v>11700</v>
      </c>
      <c r="H20" s="229">
        <f>H18*$D15</f>
        <v>10500</v>
      </c>
      <c r="I20" s="229">
        <f>I18*$D15</f>
        <v>8700</v>
      </c>
      <c r="J20" s="238"/>
      <c r="K20" s="237"/>
      <c r="L20" s="220"/>
    </row>
    <row r="21" spans="2:12" s="107" customFormat="1">
      <c r="B21"/>
      <c r="C21" s="198"/>
      <c r="D21" s="11"/>
      <c r="E21" s="11"/>
      <c r="F21"/>
      <c r="G21" s="12"/>
      <c r="H21" s="12"/>
      <c r="I21" s="220"/>
      <c r="J21" s="220"/>
      <c r="K21" s="220"/>
      <c r="L21" s="220"/>
    </row>
    <row r="22" spans="2:12" s="107" customFormat="1" ht="15.75">
      <c r="B22"/>
      <c r="C22" s="236">
        <v>44984</v>
      </c>
      <c r="D22" s="234">
        <v>3.2800000000000003E-2</v>
      </c>
      <c r="E22" s="226" t="s">
        <v>176</v>
      </c>
      <c r="F22"/>
      <c r="G22" s="12"/>
      <c r="H22" s="12"/>
      <c r="I22" s="220"/>
      <c r="J22" s="220"/>
      <c r="K22" s="220"/>
      <c r="L22" s="220"/>
    </row>
    <row r="23" spans="2:12" s="107" customFormat="1">
      <c r="B23"/>
      <c r="C23" s="198"/>
      <c r="D23" s="204"/>
      <c r="E23" s="11" t="s">
        <v>141</v>
      </c>
      <c r="F23"/>
      <c r="G23" s="12"/>
      <c r="H23" s="12">
        <f>G25</f>
        <v>125000</v>
      </c>
      <c r="I23" s="12">
        <f>H25</f>
        <v>125000</v>
      </c>
      <c r="J23" s="12">
        <f>I25</f>
        <v>125000</v>
      </c>
      <c r="K23" s="12">
        <f>J25</f>
        <v>125000</v>
      </c>
      <c r="L23" s="12">
        <f>K25</f>
        <v>125000</v>
      </c>
    </row>
    <row r="24" spans="2:12" s="107" customFormat="1">
      <c r="B24"/>
      <c r="C24" s="198"/>
      <c r="D24" s="204"/>
      <c r="E24" s="11" t="s">
        <v>201</v>
      </c>
      <c r="F24"/>
      <c r="G24" s="12"/>
      <c r="H24" s="12">
        <v>0</v>
      </c>
      <c r="I24" s="220">
        <v>0</v>
      </c>
      <c r="J24" s="220">
        <v>0</v>
      </c>
      <c r="K24" s="220">
        <v>0</v>
      </c>
      <c r="L24" s="220">
        <v>-125000</v>
      </c>
    </row>
    <row r="25" spans="2:12" s="107" customFormat="1">
      <c r="B25"/>
      <c r="C25" s="198"/>
      <c r="D25" s="204"/>
      <c r="E25" s="233" t="s">
        <v>142</v>
      </c>
      <c r="F25" s="161"/>
      <c r="G25" s="232">
        <v>125000</v>
      </c>
      <c r="H25" s="232">
        <v>125000</v>
      </c>
      <c r="I25" s="232">
        <f>SUM(I23:I24)</f>
        <v>125000</v>
      </c>
      <c r="J25" s="232">
        <f>SUM(J23:J24)</f>
        <v>125000</v>
      </c>
      <c r="K25" s="232">
        <f>SUM(K23:K24)</f>
        <v>125000</v>
      </c>
      <c r="L25" s="232">
        <f>SUM(L23:L24)</f>
        <v>0</v>
      </c>
    </row>
    <row r="26" spans="2:12" s="107" customFormat="1">
      <c r="B26"/>
      <c r="C26" s="198"/>
      <c r="D26" s="204"/>
      <c r="E26" s="11"/>
      <c r="F26"/>
      <c r="G26" s="12"/>
      <c r="H26" s="14"/>
      <c r="I26" s="220"/>
      <c r="J26" s="220"/>
      <c r="K26" s="220"/>
      <c r="L26" s="220"/>
    </row>
    <row r="27" spans="2:12" s="107" customFormat="1">
      <c r="B27"/>
      <c r="C27" s="198"/>
      <c r="D27" s="204"/>
      <c r="E27" s="231" t="s">
        <v>200</v>
      </c>
      <c r="F27" s="230"/>
      <c r="G27" s="229">
        <f t="shared" ref="G27:L27" si="0">G25*$D22</f>
        <v>4100</v>
      </c>
      <c r="H27" s="229">
        <f t="shared" si="0"/>
        <v>4100</v>
      </c>
      <c r="I27" s="229">
        <f t="shared" si="0"/>
        <v>4100</v>
      </c>
      <c r="J27" s="229">
        <f t="shared" si="0"/>
        <v>4100</v>
      </c>
      <c r="K27" s="229">
        <f t="shared" si="0"/>
        <v>4100</v>
      </c>
      <c r="L27" s="229">
        <f t="shared" si="0"/>
        <v>0</v>
      </c>
    </row>
    <row r="28" spans="2:12" s="107" customFormat="1">
      <c r="B28"/>
      <c r="C28" s="198"/>
      <c r="D28" s="204"/>
      <c r="E28" s="11"/>
      <c r="F28"/>
      <c r="G28" s="12"/>
      <c r="H28" s="12"/>
      <c r="I28" s="220"/>
      <c r="J28" s="220"/>
      <c r="K28" s="220"/>
      <c r="L28" s="220"/>
    </row>
    <row r="29" spans="2:12" s="107" customFormat="1" ht="15.75">
      <c r="B29"/>
      <c r="C29" s="236">
        <v>45085</v>
      </c>
      <c r="D29" s="235">
        <v>0.04</v>
      </c>
      <c r="E29" s="226" t="s">
        <v>180</v>
      </c>
      <c r="F29"/>
      <c r="G29" s="12"/>
      <c r="H29" s="12"/>
      <c r="I29" s="220"/>
      <c r="J29" s="220"/>
      <c r="K29" s="220"/>
      <c r="L29" s="220"/>
    </row>
    <row r="30" spans="2:12" s="107" customFormat="1">
      <c r="B30"/>
      <c r="C30" s="198"/>
      <c r="D30" s="11"/>
      <c r="E30" s="11" t="s">
        <v>141</v>
      </c>
      <c r="F30"/>
      <c r="G30" s="12"/>
      <c r="H30" s="12">
        <f>G32</f>
        <v>80000</v>
      </c>
      <c r="I30" s="12">
        <f>H32</f>
        <v>45000</v>
      </c>
      <c r="J30" s="12">
        <f>I32</f>
        <v>45000</v>
      </c>
      <c r="K30" s="12">
        <f>J32</f>
        <v>45000</v>
      </c>
      <c r="L30" s="12">
        <f>K32</f>
        <v>45000</v>
      </c>
    </row>
    <row r="31" spans="2:12" s="107" customFormat="1">
      <c r="B31"/>
      <c r="C31" s="198"/>
      <c r="D31" s="11"/>
      <c r="E31" s="11" t="s">
        <v>201</v>
      </c>
      <c r="F31"/>
      <c r="G31" s="12"/>
      <c r="H31" s="12">
        <v>-35000</v>
      </c>
      <c r="I31" s="220">
        <v>0</v>
      </c>
      <c r="J31" s="220">
        <v>0</v>
      </c>
      <c r="K31" s="220">
        <v>0</v>
      </c>
      <c r="L31" s="220">
        <v>-45000</v>
      </c>
    </row>
    <row r="32" spans="2:12" s="107" customFormat="1">
      <c r="B32"/>
      <c r="C32" s="198"/>
      <c r="D32" s="11"/>
      <c r="E32" s="233" t="s">
        <v>142</v>
      </c>
      <c r="F32" s="161"/>
      <c r="G32" s="232">
        <v>80000</v>
      </c>
      <c r="H32" s="232">
        <f>SUM(H30:H31)</f>
        <v>45000</v>
      </c>
      <c r="I32" s="232">
        <f>SUM(I30:I31)</f>
        <v>45000</v>
      </c>
      <c r="J32" s="232">
        <f>SUM(J30:J31)</f>
        <v>45000</v>
      </c>
      <c r="K32" s="232">
        <f>SUM(K30:K31)</f>
        <v>45000</v>
      </c>
      <c r="L32" s="232">
        <f>SUM(L30:L31)</f>
        <v>0</v>
      </c>
    </row>
    <row r="33" spans="2:12" s="107" customFormat="1">
      <c r="B33"/>
      <c r="C33" s="198"/>
      <c r="D33" s="11"/>
      <c r="E33" s="11"/>
      <c r="F33"/>
      <c r="G33" s="12"/>
      <c r="H33" s="14"/>
      <c r="I33" s="220"/>
      <c r="J33" s="220"/>
      <c r="K33" s="220"/>
      <c r="L33" s="220"/>
    </row>
    <row r="34" spans="2:12" s="107" customFormat="1">
      <c r="B34"/>
      <c r="C34" s="198"/>
      <c r="D34" s="11"/>
      <c r="E34" s="231" t="s">
        <v>200</v>
      </c>
      <c r="F34" s="230"/>
      <c r="G34" s="229">
        <f t="shared" ref="G34:L34" si="1">G32*$D29</f>
        <v>3200</v>
      </c>
      <c r="H34" s="229">
        <f t="shared" si="1"/>
        <v>1800</v>
      </c>
      <c r="I34" s="229">
        <f t="shared" si="1"/>
        <v>1800</v>
      </c>
      <c r="J34" s="229">
        <f t="shared" si="1"/>
        <v>1800</v>
      </c>
      <c r="K34" s="229">
        <f t="shared" si="1"/>
        <v>1800</v>
      </c>
      <c r="L34" s="229">
        <f t="shared" si="1"/>
        <v>0</v>
      </c>
    </row>
    <row r="35" spans="2:12" s="107" customFormat="1">
      <c r="B35"/>
      <c r="C35" s="198"/>
      <c r="D35" s="11"/>
      <c r="E35" s="11"/>
      <c r="F35"/>
      <c r="G35" s="12"/>
      <c r="H35" s="12"/>
      <c r="I35" s="220"/>
      <c r="J35" s="220"/>
      <c r="K35" s="220"/>
      <c r="L35" s="220"/>
    </row>
    <row r="36" spans="2:12" s="107" customFormat="1" ht="15.75">
      <c r="B36"/>
      <c r="C36" s="228">
        <v>45986</v>
      </c>
      <c r="D36" s="234">
        <v>3.7999999999999999E-2</v>
      </c>
      <c r="E36" s="226" t="s">
        <v>176</v>
      </c>
      <c r="F36"/>
      <c r="G36" s="12"/>
      <c r="H36" s="12"/>
      <c r="I36" s="220"/>
      <c r="J36" s="220"/>
      <c r="K36" s="220"/>
      <c r="L36" s="220"/>
    </row>
    <row r="37" spans="2:12" s="107" customFormat="1">
      <c r="B37"/>
      <c r="C37" s="198"/>
      <c r="D37" s="204"/>
      <c r="E37" s="11" t="s">
        <v>141</v>
      </c>
      <c r="F37"/>
      <c r="G37" s="12"/>
      <c r="H37" s="12">
        <f>G39</f>
        <v>350000</v>
      </c>
      <c r="I37" s="12">
        <f>H39</f>
        <v>350000</v>
      </c>
      <c r="J37" s="12">
        <f>I39</f>
        <v>350000</v>
      </c>
      <c r="K37" s="12">
        <f>J39</f>
        <v>350000</v>
      </c>
      <c r="L37" s="12">
        <f>K39</f>
        <v>350000</v>
      </c>
    </row>
    <row r="38" spans="2:12" s="107" customFormat="1">
      <c r="B38"/>
      <c r="C38" s="198"/>
      <c r="D38" s="204"/>
      <c r="E38" s="11" t="s">
        <v>201</v>
      </c>
      <c r="F38"/>
      <c r="G38" s="12"/>
      <c r="H38" s="12">
        <v>0</v>
      </c>
      <c r="I38" s="220">
        <v>0</v>
      </c>
      <c r="J38" s="220">
        <v>0</v>
      </c>
      <c r="K38" s="220">
        <v>0</v>
      </c>
      <c r="L38" s="220">
        <v>0</v>
      </c>
    </row>
    <row r="39" spans="2:12" s="107" customFormat="1">
      <c r="B39"/>
      <c r="C39" s="198"/>
      <c r="D39" s="204"/>
      <c r="E39" s="233" t="s">
        <v>142</v>
      </c>
      <c r="F39" s="161"/>
      <c r="G39" s="232">
        <v>350000</v>
      </c>
      <c r="H39" s="232">
        <f>SUM(H37:H38)</f>
        <v>350000</v>
      </c>
      <c r="I39" s="232">
        <f>SUM(I37:I38)</f>
        <v>350000</v>
      </c>
      <c r="J39" s="232">
        <f>SUM(J37:J38)</f>
        <v>350000</v>
      </c>
      <c r="K39" s="232">
        <f>SUM(K37:K38)</f>
        <v>350000</v>
      </c>
      <c r="L39" s="232">
        <f>SUM(L37:L38)</f>
        <v>350000</v>
      </c>
    </row>
    <row r="40" spans="2:12" s="107" customFormat="1">
      <c r="B40"/>
      <c r="C40" s="198"/>
      <c r="D40" s="204"/>
      <c r="E40" s="11"/>
      <c r="F40"/>
      <c r="G40" s="12"/>
      <c r="H40" s="14"/>
      <c r="I40" s="220"/>
      <c r="J40" s="220"/>
      <c r="K40" s="220"/>
      <c r="L40" s="220"/>
    </row>
    <row r="41" spans="2:12" s="107" customFormat="1">
      <c r="B41"/>
      <c r="C41" s="198"/>
      <c r="D41" s="204"/>
      <c r="E41" s="231" t="s">
        <v>200</v>
      </c>
      <c r="F41" s="230"/>
      <c r="G41" s="229">
        <f t="shared" ref="G41:L41" si="2">G39*$D36</f>
        <v>13300</v>
      </c>
      <c r="H41" s="229">
        <f t="shared" si="2"/>
        <v>13300</v>
      </c>
      <c r="I41" s="229">
        <f t="shared" si="2"/>
        <v>13300</v>
      </c>
      <c r="J41" s="229">
        <f t="shared" si="2"/>
        <v>13300</v>
      </c>
      <c r="K41" s="229">
        <f t="shared" si="2"/>
        <v>13300</v>
      </c>
      <c r="L41" s="229">
        <f t="shared" si="2"/>
        <v>13300</v>
      </c>
    </row>
    <row r="42" spans="2:12" s="107" customFormat="1">
      <c r="B42"/>
      <c r="C42" s="198"/>
      <c r="D42" s="204"/>
      <c r="E42" s="11"/>
      <c r="F42"/>
      <c r="G42" s="12"/>
      <c r="H42" s="12"/>
      <c r="I42" s="220"/>
      <c r="J42" s="220"/>
      <c r="K42" s="220"/>
      <c r="L42" s="220"/>
    </row>
    <row r="43" spans="2:12" s="107" customFormat="1" ht="15.75">
      <c r="B43"/>
      <c r="C43" s="228">
        <v>46305</v>
      </c>
      <c r="D43" s="234">
        <v>3.9300000000000002E-2</v>
      </c>
      <c r="E43" s="226" t="s">
        <v>176</v>
      </c>
      <c r="F43"/>
      <c r="G43" s="14" t="s">
        <v>27</v>
      </c>
      <c r="H43" s="12"/>
      <c r="I43" s="220"/>
      <c r="J43" s="220"/>
      <c r="K43" s="220"/>
      <c r="L43" s="220"/>
    </row>
    <row r="44" spans="2:12" s="107" customFormat="1">
      <c r="B44"/>
      <c r="C44" s="198"/>
      <c r="D44" s="204"/>
      <c r="E44" s="11" t="s">
        <v>141</v>
      </c>
      <c r="F44"/>
      <c r="G44" s="12"/>
      <c r="H44" s="12">
        <f>G46</f>
        <v>0</v>
      </c>
      <c r="I44" s="12">
        <f>H46</f>
        <v>100000</v>
      </c>
      <c r="J44" s="12">
        <f>I46</f>
        <v>100000</v>
      </c>
      <c r="K44" s="12">
        <f>J46</f>
        <v>100000</v>
      </c>
      <c r="L44" s="12">
        <f>K46</f>
        <v>100000</v>
      </c>
    </row>
    <row r="45" spans="2:12" s="107" customFormat="1">
      <c r="B45"/>
      <c r="C45" s="198"/>
      <c r="D45" s="204"/>
      <c r="E45" s="11" t="s">
        <v>201</v>
      </c>
      <c r="F45"/>
      <c r="G45" s="12"/>
      <c r="H45" s="12">
        <v>0</v>
      </c>
      <c r="I45" s="220">
        <v>0</v>
      </c>
      <c r="J45" s="220">
        <v>0</v>
      </c>
      <c r="K45" s="220">
        <v>0</v>
      </c>
      <c r="L45" s="220">
        <v>0</v>
      </c>
    </row>
    <row r="46" spans="2:12" s="107" customFormat="1">
      <c r="B46"/>
      <c r="C46" s="198"/>
      <c r="D46" s="204"/>
      <c r="E46" s="233" t="s">
        <v>142</v>
      </c>
      <c r="F46" s="161"/>
      <c r="G46" s="232">
        <v>0</v>
      </c>
      <c r="H46" s="232">
        <v>100000</v>
      </c>
      <c r="I46" s="232">
        <f>SUM(I44:I45)</f>
        <v>100000</v>
      </c>
      <c r="J46" s="232">
        <f>SUM(J44:J45)</f>
        <v>100000</v>
      </c>
      <c r="K46" s="232">
        <f>SUM(K44:K45)</f>
        <v>100000</v>
      </c>
      <c r="L46" s="232">
        <f>SUM(L44:L45)</f>
        <v>100000</v>
      </c>
    </row>
    <row r="47" spans="2:12" s="107" customFormat="1">
      <c r="B47"/>
      <c r="C47" s="198"/>
      <c r="D47" s="204"/>
      <c r="E47" s="11"/>
      <c r="F47"/>
      <c r="G47" s="12"/>
      <c r="H47" s="14"/>
      <c r="I47" s="220"/>
      <c r="J47" s="220"/>
      <c r="K47" s="220"/>
      <c r="L47" s="220"/>
    </row>
    <row r="48" spans="2:12" s="107" customFormat="1">
      <c r="B48"/>
      <c r="C48" s="198"/>
      <c r="D48" s="204"/>
      <c r="E48" s="231" t="s">
        <v>200</v>
      </c>
      <c r="F48" s="230"/>
      <c r="G48" s="229">
        <f t="shared" ref="G48:L48" si="3">G46*$D43</f>
        <v>0</v>
      </c>
      <c r="H48" s="229">
        <f t="shared" si="3"/>
        <v>3930</v>
      </c>
      <c r="I48" s="229">
        <f t="shared" si="3"/>
        <v>3930</v>
      </c>
      <c r="J48" s="229">
        <f t="shared" si="3"/>
        <v>3930</v>
      </c>
      <c r="K48" s="229">
        <f t="shared" si="3"/>
        <v>3930</v>
      </c>
      <c r="L48" s="229">
        <f t="shared" si="3"/>
        <v>3930</v>
      </c>
    </row>
    <row r="49" spans="2:12" s="107" customFormat="1">
      <c r="B49"/>
      <c r="C49" s="198"/>
      <c r="D49" s="204"/>
      <c r="E49" s="11"/>
      <c r="F49"/>
      <c r="G49" s="14"/>
      <c r="H49" s="12"/>
      <c r="I49" s="220"/>
      <c r="J49" s="220"/>
      <c r="K49" s="220"/>
      <c r="L49" s="220"/>
    </row>
    <row r="50" spans="2:12" s="107" customFormat="1" ht="15.75">
      <c r="B50"/>
      <c r="C50" s="228">
        <v>47563</v>
      </c>
      <c r="D50" s="234">
        <v>3.9600000000000003E-2</v>
      </c>
      <c r="E50" s="226" t="s">
        <v>176</v>
      </c>
      <c r="F50"/>
      <c r="G50" s="12">
        <v>150000</v>
      </c>
      <c r="H50" s="12">
        <v>150000</v>
      </c>
      <c r="I50" s="220"/>
      <c r="J50" s="220"/>
      <c r="K50" s="220"/>
      <c r="L50" s="220"/>
    </row>
    <row r="51" spans="2:12" s="107" customFormat="1">
      <c r="B51"/>
      <c r="C51" s="198"/>
      <c r="D51" s="204"/>
      <c r="E51" s="11" t="s">
        <v>141</v>
      </c>
      <c r="F51"/>
      <c r="G51" s="12"/>
      <c r="H51" s="12">
        <f>G53</f>
        <v>150000</v>
      </c>
      <c r="I51" s="12">
        <f>H53</f>
        <v>150000</v>
      </c>
      <c r="J51" s="12">
        <f>I53</f>
        <v>150000</v>
      </c>
      <c r="K51" s="12">
        <f>J53</f>
        <v>150000</v>
      </c>
      <c r="L51" s="12">
        <f>K53</f>
        <v>150000</v>
      </c>
    </row>
    <row r="52" spans="2:12" s="107" customFormat="1">
      <c r="B52"/>
      <c r="C52" s="198"/>
      <c r="D52" s="204"/>
      <c r="E52" s="11" t="s">
        <v>201</v>
      </c>
      <c r="F52"/>
      <c r="G52" s="12"/>
      <c r="H52" s="12">
        <v>0</v>
      </c>
      <c r="I52" s="220">
        <v>0</v>
      </c>
      <c r="J52" s="220">
        <v>0</v>
      </c>
      <c r="K52" s="220">
        <v>0</v>
      </c>
      <c r="L52" s="220">
        <v>0</v>
      </c>
    </row>
    <row r="53" spans="2:12" s="107" customFormat="1">
      <c r="B53"/>
      <c r="C53" s="198"/>
      <c r="D53" s="204"/>
      <c r="E53" s="233" t="s">
        <v>142</v>
      </c>
      <c r="F53" s="161"/>
      <c r="G53" s="232">
        <v>150000</v>
      </c>
      <c r="H53" s="232">
        <f>SUM(H51:H52)</f>
        <v>150000</v>
      </c>
      <c r="I53" s="232">
        <f>SUM(I51:I52)</f>
        <v>150000</v>
      </c>
      <c r="J53" s="232">
        <f>SUM(J51:J52)</f>
        <v>150000</v>
      </c>
      <c r="K53" s="232">
        <f>SUM(K51:K52)</f>
        <v>150000</v>
      </c>
      <c r="L53" s="232">
        <f>SUM(L51:L52)</f>
        <v>150000</v>
      </c>
    </row>
    <row r="54" spans="2:12" s="107" customFormat="1">
      <c r="B54"/>
      <c r="C54" s="198"/>
      <c r="D54" s="204"/>
      <c r="E54" s="11"/>
      <c r="F54"/>
      <c r="G54" s="12"/>
      <c r="H54" s="14"/>
      <c r="I54" s="220"/>
      <c r="J54" s="220"/>
      <c r="K54" s="220"/>
      <c r="L54" s="220"/>
    </row>
    <row r="55" spans="2:12" s="107" customFormat="1">
      <c r="B55"/>
      <c r="C55" s="198"/>
      <c r="D55" s="204"/>
      <c r="E55" s="231" t="s">
        <v>200</v>
      </c>
      <c r="F55" s="230"/>
      <c r="G55" s="229">
        <f t="shared" ref="G55:L55" si="4">G53*$D50</f>
        <v>5940.0000000000009</v>
      </c>
      <c r="H55" s="229">
        <f t="shared" si="4"/>
        <v>5940.0000000000009</v>
      </c>
      <c r="I55" s="229">
        <f t="shared" si="4"/>
        <v>5940.0000000000009</v>
      </c>
      <c r="J55" s="229">
        <f t="shared" si="4"/>
        <v>5940.0000000000009</v>
      </c>
      <c r="K55" s="229">
        <f t="shared" si="4"/>
        <v>5940.0000000000009</v>
      </c>
      <c r="L55" s="229">
        <f t="shared" si="4"/>
        <v>5940.0000000000009</v>
      </c>
    </row>
    <row r="56" spans="2:12" s="107" customFormat="1">
      <c r="B56"/>
      <c r="C56" s="198"/>
      <c r="D56" s="204"/>
      <c r="E56" s="11"/>
      <c r="F56"/>
      <c r="G56" s="12"/>
      <c r="H56" s="12"/>
      <c r="I56" s="220"/>
      <c r="J56" s="220"/>
      <c r="K56" s="220"/>
      <c r="L56" s="220"/>
    </row>
    <row r="57" spans="2:12" s="107" customFormat="1" ht="15.75">
      <c r="B57"/>
      <c r="C57" s="228">
        <v>43570</v>
      </c>
      <c r="D57" s="227"/>
      <c r="E57" s="226" t="s">
        <v>173</v>
      </c>
      <c r="F57"/>
      <c r="G57" s="14">
        <v>-78</v>
      </c>
      <c r="H57" s="14" t="s">
        <v>27</v>
      </c>
      <c r="I57" s="220"/>
      <c r="J57" s="220"/>
      <c r="K57" s="220"/>
      <c r="L57" s="220"/>
    </row>
    <row r="58" spans="2:12" s="107" customFormat="1">
      <c r="B58"/>
      <c r="C58" s="198"/>
      <c r="D58" s="195"/>
      <c r="E58" s="11"/>
      <c r="F58"/>
      <c r="G58" s="14"/>
      <c r="H58" s="14"/>
      <c r="I58" s="220"/>
      <c r="J58" s="220"/>
      <c r="K58" s="220"/>
      <c r="L58" s="220"/>
    </row>
    <row r="59" spans="2:12" s="107" customFormat="1" ht="15.75">
      <c r="B59"/>
      <c r="C59" s="228">
        <v>45986</v>
      </c>
      <c r="D59" s="227"/>
      <c r="E59" s="226" t="s">
        <v>173</v>
      </c>
      <c r="F59"/>
      <c r="G59" s="14">
        <v>-61</v>
      </c>
      <c r="H59" s="14">
        <v>-52</v>
      </c>
      <c r="I59" s="225">
        <f>I60*(I11+I25+I39+I46+I53)</f>
        <v>-56.085034013605437</v>
      </c>
      <c r="J59" s="225">
        <f>J60*(J11+J25+J39+J46+J53)</f>
        <v>-54.042517006802719</v>
      </c>
      <c r="K59" s="225">
        <f>K60*(K11+K25+K39+K46+K53)</f>
        <v>-55.063775510204074</v>
      </c>
      <c r="L59" s="225">
        <f>L60*(L11+L25+L39+L46+L53)</f>
        <v>-45.147431386347641</v>
      </c>
    </row>
    <row r="60" spans="2:12" s="107" customFormat="1">
      <c r="B60"/>
      <c r="C60" s="198"/>
      <c r="D60" s="195"/>
      <c r="E60" s="11"/>
      <c r="F60"/>
      <c r="G60" s="224">
        <f>G59/(G11+G25+G39+G46+G53)</f>
        <v>-8.299319727891156E-5</v>
      </c>
      <c r="H60" s="224">
        <f>H59/(H11+H25+H39+H46+H53)</f>
        <v>-7.172413793103448E-5</v>
      </c>
      <c r="I60" s="224">
        <f>AVERAGE(G60:H60)</f>
        <v>-7.7358667604973013E-5</v>
      </c>
      <c r="J60" s="224">
        <f>AVERAGE(H60:I60)</f>
        <v>-7.4541402768003753E-5</v>
      </c>
      <c r="K60" s="224">
        <f>AVERAGE(I60:J60)</f>
        <v>-7.5950035186488383E-5</v>
      </c>
      <c r="L60" s="224">
        <f>AVERAGE(J60:K60)</f>
        <v>-7.5245718977246068E-5</v>
      </c>
    </row>
    <row r="61" spans="2:12" s="107" customFormat="1">
      <c r="B61"/>
      <c r="C61" s="198"/>
      <c r="D61" s="195"/>
      <c r="E61" s="11"/>
      <c r="F61"/>
      <c r="G61" s="14"/>
      <c r="H61" s="14"/>
      <c r="I61" s="220"/>
      <c r="J61" s="220"/>
      <c r="K61" s="220"/>
      <c r="L61" s="220"/>
    </row>
    <row r="62" spans="2:12" s="107" customFormat="1">
      <c r="B62"/>
      <c r="C62" s="196"/>
      <c r="D62" s="195"/>
      <c r="E62" s="11" t="s">
        <v>171</v>
      </c>
      <c r="F62"/>
      <c r="G62" s="194">
        <v>-2958</v>
      </c>
      <c r="H62" s="194">
        <v>-2528</v>
      </c>
      <c r="I62" s="221">
        <f>H62</f>
        <v>-2528</v>
      </c>
      <c r="J62" s="221">
        <f>I62</f>
        <v>-2528</v>
      </c>
      <c r="K62" s="221">
        <f>J62</f>
        <v>-2528</v>
      </c>
      <c r="L62" s="221">
        <f>K62</f>
        <v>-2528</v>
      </c>
    </row>
    <row r="63" spans="2:12" s="107" customFormat="1">
      <c r="B63"/>
      <c r="C63" s="196"/>
      <c r="D63" s="195"/>
      <c r="E63" s="11"/>
      <c r="F63"/>
      <c r="G63" s="53"/>
      <c r="H63" s="53"/>
      <c r="I63" s="221"/>
      <c r="J63" s="221"/>
      <c r="K63" s="221"/>
      <c r="L63" s="221"/>
    </row>
    <row r="64" spans="2:12" s="107" customFormat="1" ht="15.75" thickBot="1">
      <c r="B64"/>
      <c r="C64" s="190"/>
      <c r="D64" s="189"/>
      <c r="E64" s="19" t="s">
        <v>69</v>
      </c>
      <c r="F64"/>
      <c r="G64" s="188">
        <v>1104403</v>
      </c>
      <c r="H64" s="188">
        <v>1029920</v>
      </c>
      <c r="I64" s="223">
        <f>I11+I18+I25+I32+I39+I46+I53+I57+I59+I62</f>
        <v>984915.91496598639</v>
      </c>
      <c r="J64" s="223">
        <f>J11+J18+J25+J32+J39+J46+J53+J57+J59+J62</f>
        <v>767417.95748299325</v>
      </c>
      <c r="K64" s="223">
        <f>K11+K18+K25+K32+K39+K46+K53+K57+K59+K62</f>
        <v>767416.93622448982</v>
      </c>
      <c r="L64" s="223">
        <f>L11+L18+L25+L32+L39+L46+L53+L57+L59+L62</f>
        <v>597426.8525686136</v>
      </c>
    </row>
    <row r="65" spans="2:12" s="107" customFormat="1" ht="15.75" thickTop="1">
      <c r="B65"/>
      <c r="C65"/>
      <c r="D65"/>
      <c r="E65"/>
      <c r="F65"/>
      <c r="G65"/>
      <c r="H65"/>
      <c r="I65" s="220"/>
      <c r="J65" s="220"/>
      <c r="K65" s="220"/>
      <c r="L65" s="220"/>
    </row>
    <row r="66" spans="2:12" s="107" customFormat="1">
      <c r="B66"/>
      <c r="C66"/>
      <c r="D66"/>
      <c r="E66" s="130" t="s">
        <v>199</v>
      </c>
      <c r="F66"/>
      <c r="G66"/>
      <c r="H66" s="222">
        <f>H10+H17+H24+H31+H38+H45+H52+(H59-G59+H62-G62)</f>
        <v>-174561</v>
      </c>
      <c r="I66" s="222">
        <f>I10+I17+I24+I31+I38+I45+I52+(I59-H59+I62-H62)</f>
        <v>-45004.085034013602</v>
      </c>
      <c r="J66" s="222">
        <f>J10+J17+J24+J31+J38+J45+J52+(J59-I59+J62-I62)</f>
        <v>-217497.9574829932</v>
      </c>
      <c r="K66" s="222">
        <f>K10+K17+K24+K31+K38+K45+K52+(K59-J59+K62-J62)</f>
        <v>-1.021258503401441</v>
      </c>
      <c r="L66" s="222">
        <f>L10+L17+L24+L31+L38+L45+L52+(L59-K59+L62-K62)</f>
        <v>-169990.08365587614</v>
      </c>
    </row>
    <row r="67" spans="2:12" s="107" customFormat="1">
      <c r="B67"/>
      <c r="C67"/>
      <c r="D67"/>
      <c r="E67"/>
      <c r="F67"/>
      <c r="G67"/>
      <c r="H67"/>
      <c r="I67" s="220"/>
      <c r="J67" s="220"/>
      <c r="K67" s="220"/>
      <c r="L67" s="220"/>
    </row>
    <row r="68" spans="2:12" s="107" customFormat="1">
      <c r="B68"/>
      <c r="C68"/>
      <c r="D68"/>
      <c r="E68" s="130" t="s">
        <v>198</v>
      </c>
      <c r="F68"/>
      <c r="G68"/>
      <c r="H68"/>
      <c r="I68" s="221">
        <f>I13+I20+I27+I34+I41+I48+I55</f>
        <v>37770</v>
      </c>
      <c r="J68" s="221">
        <f>J13+J20+J27+J34+J41+J48+J55</f>
        <v>29070</v>
      </c>
      <c r="K68" s="221">
        <f>K13+K20+K27+K34+K41+K48+K55</f>
        <v>29070</v>
      </c>
      <c r="L68" s="221">
        <f>L13+L20+L27+L34+L41+L48+L55</f>
        <v>23170</v>
      </c>
    </row>
    <row r="69" spans="2:12" s="107" customFormat="1">
      <c r="B69"/>
      <c r="C69"/>
      <c r="D69"/>
      <c r="E69"/>
      <c r="F69"/>
      <c r="G69"/>
      <c r="H69"/>
      <c r="I69" s="220"/>
      <c r="J69" s="220"/>
      <c r="K69" s="220"/>
      <c r="L69" s="220"/>
    </row>
    <row r="70" spans="2:12" s="107" customFormat="1">
      <c r="B70"/>
      <c r="C70"/>
      <c r="D70"/>
      <c r="E70"/>
      <c r="F70"/>
      <c r="G70"/>
      <c r="H70"/>
      <c r="I70" s="220"/>
      <c r="J70" s="220"/>
      <c r="K70" s="220"/>
      <c r="L70" s="220"/>
    </row>
    <row r="71" spans="2:12" s="107" customFormat="1">
      <c r="B71"/>
      <c r="C71"/>
      <c r="D71"/>
      <c r="E71"/>
      <c r="F71"/>
      <c r="G71"/>
      <c r="H71"/>
      <c r="I71" s="220"/>
      <c r="J71" s="220"/>
      <c r="K71" s="220"/>
      <c r="L71" s="220"/>
    </row>
    <row r="72" spans="2:12" s="107" customFormat="1">
      <c r="B72"/>
      <c r="C72"/>
      <c r="D72"/>
      <c r="E72"/>
      <c r="F72"/>
      <c r="G72"/>
      <c r="H72"/>
      <c r="I72" s="220"/>
      <c r="J72" s="220"/>
      <c r="K72" s="220"/>
      <c r="L72" s="220"/>
    </row>
    <row r="73" spans="2:12" s="107" customFormat="1">
      <c r="B73"/>
      <c r="C73"/>
      <c r="D73"/>
      <c r="E73"/>
      <c r="F73"/>
      <c r="G73"/>
      <c r="H73"/>
      <c r="I73" s="220"/>
      <c r="J73" s="220"/>
      <c r="K73" s="220"/>
      <c r="L73" s="220"/>
    </row>
    <row r="74" spans="2:12" s="107" customFormat="1">
      <c r="B74"/>
      <c r="C74"/>
      <c r="D74"/>
      <c r="E74"/>
      <c r="F74"/>
      <c r="G74"/>
      <c r="H74"/>
      <c r="I74" s="220"/>
      <c r="J74" s="220"/>
      <c r="K74" s="220"/>
      <c r="L74" s="220"/>
    </row>
    <row r="75" spans="2:12" s="107" customFormat="1">
      <c r="B75"/>
      <c r="C75"/>
      <c r="D75"/>
      <c r="E75"/>
      <c r="F75"/>
      <c r="G75"/>
      <c r="H75"/>
      <c r="I75" s="220"/>
      <c r="J75" s="220"/>
      <c r="K75" s="220"/>
      <c r="L75" s="220"/>
    </row>
    <row r="76" spans="2:12" s="107" customFormat="1">
      <c r="B76"/>
      <c r="C76"/>
      <c r="D76"/>
      <c r="E76"/>
      <c r="F76"/>
      <c r="G76"/>
      <c r="H76"/>
      <c r="I76" s="220"/>
      <c r="J76" s="220"/>
      <c r="K76" s="220"/>
      <c r="L76" s="220"/>
    </row>
    <row r="77" spans="2:12" s="107" customFormat="1">
      <c r="B77"/>
      <c r="C77"/>
      <c r="D77"/>
      <c r="E77"/>
      <c r="F77"/>
      <c r="G77"/>
      <c r="H77"/>
      <c r="I77" s="220"/>
      <c r="J77" s="220"/>
      <c r="K77" s="220"/>
      <c r="L77" s="220"/>
    </row>
    <row r="78" spans="2:12" s="107" customFormat="1">
      <c r="B78"/>
      <c r="C78"/>
      <c r="D78"/>
      <c r="E78"/>
      <c r="F78"/>
      <c r="G78"/>
      <c r="H78"/>
      <c r="I78" s="220"/>
      <c r="J78" s="220"/>
      <c r="K78" s="220"/>
      <c r="L78" s="220"/>
    </row>
    <row r="79" spans="2:12" s="107" customFormat="1">
      <c r="B79"/>
      <c r="C79"/>
      <c r="D79"/>
      <c r="E79"/>
      <c r="F79"/>
      <c r="G79"/>
      <c r="H79"/>
      <c r="I79" s="220"/>
      <c r="J79" s="220"/>
      <c r="K79" s="220"/>
      <c r="L79" s="220"/>
    </row>
    <row r="80" spans="2:12" s="107" customFormat="1">
      <c r="B80"/>
      <c r="C80"/>
      <c r="D80"/>
      <c r="E80"/>
      <c r="F80"/>
      <c r="G80"/>
      <c r="H80"/>
      <c r="I80" s="220"/>
      <c r="J80" s="220"/>
      <c r="K80" s="220"/>
      <c r="L80" s="220"/>
    </row>
    <row r="81" spans="2:12" s="107" customFormat="1">
      <c r="B81"/>
      <c r="C81"/>
      <c r="D81"/>
      <c r="E81"/>
      <c r="F81"/>
      <c r="G81"/>
      <c r="H81"/>
      <c r="I81" s="220"/>
      <c r="J81" s="220"/>
      <c r="K81" s="220"/>
      <c r="L81" s="220"/>
    </row>
    <row r="82" spans="2:12" s="107" customFormat="1">
      <c r="B82"/>
      <c r="C82"/>
      <c r="D82"/>
      <c r="E82"/>
      <c r="F82"/>
      <c r="G82"/>
      <c r="H82"/>
      <c r="I82" s="220"/>
      <c r="J82" s="220"/>
      <c r="K82" s="220"/>
      <c r="L82" s="220"/>
    </row>
    <row r="83" spans="2:12" s="107" customFormat="1">
      <c r="B83"/>
      <c r="C83"/>
      <c r="D83"/>
      <c r="E83"/>
      <c r="F83"/>
      <c r="G83"/>
      <c r="H83"/>
      <c r="I83" s="220"/>
      <c r="J83" s="220"/>
      <c r="K83" s="220"/>
      <c r="L83" s="220"/>
    </row>
    <row r="84" spans="2:12" s="107" customFormat="1">
      <c r="B84"/>
      <c r="C84"/>
      <c r="D84"/>
      <c r="E84"/>
      <c r="F84"/>
      <c r="G84"/>
      <c r="H84"/>
      <c r="I84" s="220"/>
      <c r="J84" s="220"/>
      <c r="K84" s="220"/>
      <c r="L84" s="220"/>
    </row>
    <row r="85" spans="2:12" s="107" customFormat="1">
      <c r="B85"/>
      <c r="C85"/>
      <c r="D85"/>
      <c r="E85"/>
      <c r="F85"/>
      <c r="G85"/>
      <c r="H85"/>
      <c r="I85" s="220"/>
      <c r="J85" s="220"/>
      <c r="K85" s="220"/>
      <c r="L85" s="220"/>
    </row>
    <row r="86" spans="2:12" s="107" customFormat="1">
      <c r="B86"/>
      <c r="C86"/>
      <c r="D86"/>
      <c r="E86"/>
      <c r="F86"/>
      <c r="G86"/>
      <c r="H86"/>
      <c r="I86" s="220"/>
      <c r="J86" s="220"/>
      <c r="K86" s="220"/>
    </row>
    <row r="87" spans="2:12" s="107" customFormat="1">
      <c r="B87"/>
      <c r="C87"/>
      <c r="D87"/>
      <c r="E87"/>
      <c r="F87"/>
      <c r="G87"/>
      <c r="H87"/>
      <c r="I87" s="220"/>
      <c r="J87" s="220"/>
      <c r="K87" s="220"/>
      <c r="L87"/>
    </row>
    <row r="88" spans="2:12" s="107" customFormat="1">
      <c r="B88"/>
      <c r="C88"/>
      <c r="D88"/>
      <c r="E88"/>
      <c r="F88"/>
      <c r="G88"/>
      <c r="H88"/>
      <c r="I88" s="220"/>
      <c r="J88" s="220"/>
      <c r="K88" s="220"/>
      <c r="L88"/>
    </row>
    <row r="89" spans="2:12" s="107" customFormat="1">
      <c r="B89"/>
      <c r="C89"/>
      <c r="D89"/>
      <c r="E89"/>
      <c r="F89"/>
      <c r="G89"/>
      <c r="H89"/>
      <c r="I89" s="220"/>
      <c r="J89" s="220"/>
      <c r="K89" s="220"/>
      <c r="L89"/>
    </row>
    <row r="90" spans="2:12" s="107" customFormat="1">
      <c r="B90"/>
      <c r="C90"/>
      <c r="D90"/>
      <c r="E90"/>
      <c r="F90"/>
      <c r="G90"/>
      <c r="H90"/>
      <c r="I90" s="220"/>
      <c r="J90" s="220"/>
      <c r="K90" s="220"/>
      <c r="L90"/>
    </row>
    <row r="91" spans="2:12" s="107" customFormat="1">
      <c r="B91"/>
      <c r="C91"/>
      <c r="D91"/>
      <c r="E91"/>
      <c r="F91"/>
      <c r="G91"/>
      <c r="H91"/>
      <c r="I91" s="220"/>
      <c r="J91" s="220"/>
      <c r="K91" s="220"/>
      <c r="L91"/>
    </row>
    <row r="92" spans="2:12" s="107" customFormat="1">
      <c r="B92"/>
      <c r="C92"/>
      <c r="D92"/>
      <c r="E92"/>
      <c r="F92"/>
      <c r="G92"/>
      <c r="H92"/>
      <c r="I92" s="220"/>
      <c r="J92" s="220"/>
      <c r="K92" s="220"/>
      <c r="L92"/>
    </row>
    <row r="93" spans="2:12" s="107" customFormat="1">
      <c r="B93"/>
      <c r="C93"/>
      <c r="D93"/>
      <c r="E93"/>
      <c r="F93"/>
      <c r="G93"/>
      <c r="H93"/>
      <c r="I93" s="220"/>
      <c r="J93" s="220"/>
      <c r="K93" s="220"/>
      <c r="L93"/>
    </row>
    <row r="94" spans="2:12" s="107" customFormat="1">
      <c r="B94"/>
      <c r="C94"/>
      <c r="D94"/>
      <c r="E94"/>
      <c r="F94"/>
      <c r="G94"/>
      <c r="H94"/>
      <c r="I94" s="220"/>
      <c r="J94" s="220"/>
      <c r="K94" s="220"/>
      <c r="L94"/>
    </row>
    <row r="95" spans="2:12" s="107" customFormat="1">
      <c r="B95"/>
      <c r="C95"/>
      <c r="D95"/>
      <c r="E95"/>
      <c r="F95"/>
      <c r="G95"/>
      <c r="H95"/>
      <c r="I95" s="220"/>
      <c r="J95" s="220"/>
      <c r="K95" s="220"/>
      <c r="L95"/>
    </row>
    <row r="96" spans="2:12" s="107" customFormat="1">
      <c r="B96"/>
      <c r="C96"/>
      <c r="D96"/>
      <c r="E96"/>
      <c r="F96"/>
      <c r="G96"/>
      <c r="H96"/>
      <c r="I96" s="220"/>
      <c r="J96" s="220"/>
      <c r="K96" s="220"/>
      <c r="L96"/>
    </row>
    <row r="97" spans="2:12" s="107" customFormat="1">
      <c r="B97"/>
      <c r="C97"/>
      <c r="D97"/>
      <c r="E97"/>
      <c r="F97"/>
      <c r="G97"/>
      <c r="H97"/>
      <c r="I97" s="220"/>
      <c r="J97" s="220"/>
      <c r="K97" s="220"/>
      <c r="L97"/>
    </row>
    <row r="98" spans="2:12" s="107" customFormat="1">
      <c r="B98"/>
      <c r="C98"/>
      <c r="D98"/>
      <c r="E98"/>
      <c r="F98"/>
      <c r="G98"/>
      <c r="H98"/>
      <c r="I98" s="220"/>
      <c r="J98" s="220"/>
      <c r="K98" s="220"/>
      <c r="L98"/>
    </row>
    <row r="99" spans="2:12" s="107" customFormat="1">
      <c r="B99"/>
      <c r="C99"/>
      <c r="D99"/>
      <c r="E99"/>
      <c r="F99"/>
      <c r="G99"/>
      <c r="H99"/>
      <c r="I99" s="220"/>
      <c r="J99" s="220"/>
      <c r="K99" s="220"/>
      <c r="L99"/>
    </row>
    <row r="100" spans="2:12" s="107" customFormat="1">
      <c r="B100"/>
      <c r="C100"/>
      <c r="D100"/>
      <c r="E100"/>
      <c r="F100"/>
      <c r="G100"/>
      <c r="H100"/>
      <c r="I100" s="220"/>
      <c r="J100" s="220"/>
      <c r="K100" s="220"/>
      <c r="L100"/>
    </row>
    <row r="101" spans="2:12" s="107" customFormat="1">
      <c r="B101"/>
      <c r="C101"/>
      <c r="D101"/>
      <c r="E101"/>
      <c r="F101"/>
      <c r="G101"/>
      <c r="H101"/>
      <c r="I101" s="220"/>
      <c r="J101" s="220"/>
      <c r="K101" s="220"/>
      <c r="L101"/>
    </row>
    <row r="102" spans="2:12" s="107" customFormat="1">
      <c r="B102"/>
      <c r="C102"/>
      <c r="D102"/>
      <c r="E102"/>
      <c r="F102"/>
      <c r="G102"/>
      <c r="H102"/>
      <c r="I102" s="220"/>
      <c r="J102" s="220"/>
      <c r="K102" s="220"/>
      <c r="L102"/>
    </row>
    <row r="103" spans="2:12" s="107" customFormat="1">
      <c r="B103"/>
      <c r="C103"/>
      <c r="D103"/>
      <c r="E103"/>
      <c r="F103"/>
      <c r="G103"/>
      <c r="H103"/>
      <c r="I103" s="220"/>
      <c r="J103" s="220"/>
      <c r="K103" s="220"/>
      <c r="L103"/>
    </row>
    <row r="104" spans="2:12" s="107" customFormat="1">
      <c r="B104"/>
      <c r="C104"/>
      <c r="D104"/>
      <c r="E104"/>
      <c r="F104"/>
      <c r="G104"/>
      <c r="H104"/>
      <c r="I104" s="220"/>
      <c r="J104" s="220"/>
      <c r="K104" s="220"/>
      <c r="L104"/>
    </row>
    <row r="105" spans="2:12" s="107" customFormat="1">
      <c r="B105"/>
      <c r="C105"/>
      <c r="D105"/>
      <c r="E105"/>
      <c r="F105"/>
      <c r="G105"/>
      <c r="H105"/>
      <c r="I105" s="220"/>
      <c r="J105" s="220"/>
      <c r="K105" s="220"/>
      <c r="L105"/>
    </row>
    <row r="106" spans="2:12" s="107" customFormat="1">
      <c r="B106"/>
      <c r="C106"/>
      <c r="D106"/>
      <c r="E106"/>
      <c r="F106"/>
      <c r="G106"/>
      <c r="H106"/>
      <c r="I106" s="220"/>
      <c r="J106" s="220"/>
      <c r="K106" s="220"/>
      <c r="L106"/>
    </row>
    <row r="107" spans="2:12" s="107" customFormat="1">
      <c r="B107"/>
      <c r="C107"/>
      <c r="D107"/>
      <c r="E107"/>
      <c r="F107"/>
      <c r="G107"/>
      <c r="H107"/>
      <c r="I107" s="220"/>
      <c r="J107" s="220"/>
      <c r="K107" s="220"/>
      <c r="L107"/>
    </row>
    <row r="108" spans="2:12" s="107" customFormat="1">
      <c r="B108"/>
      <c r="C108"/>
      <c r="D108"/>
      <c r="E108"/>
      <c r="F108"/>
      <c r="G108"/>
      <c r="H108"/>
      <c r="I108" s="220"/>
      <c r="J108" s="220"/>
      <c r="K108" s="220"/>
      <c r="L108"/>
    </row>
    <row r="109" spans="2:12" s="107" customFormat="1">
      <c r="B109"/>
      <c r="C109"/>
      <c r="D109"/>
      <c r="E109"/>
      <c r="F109"/>
      <c r="G109"/>
      <c r="H109"/>
      <c r="I109" s="220"/>
      <c r="J109" s="220"/>
      <c r="K109" s="220"/>
      <c r="L109"/>
    </row>
    <row r="110" spans="2:12" s="107" customFormat="1">
      <c r="B110"/>
      <c r="C110"/>
      <c r="D110"/>
      <c r="E110"/>
      <c r="F110"/>
      <c r="G110"/>
      <c r="H110"/>
      <c r="I110" s="220"/>
      <c r="J110" s="220"/>
      <c r="K110" s="220"/>
      <c r="L110"/>
    </row>
    <row r="111" spans="2:12" s="107" customFormat="1">
      <c r="B111"/>
      <c r="C111"/>
      <c r="D111"/>
      <c r="E111"/>
      <c r="F111"/>
      <c r="G111"/>
      <c r="H111"/>
      <c r="I111" s="220"/>
      <c r="J111" s="220"/>
      <c r="K111" s="220"/>
      <c r="L111"/>
    </row>
    <row r="112" spans="2:12" s="107" customFormat="1">
      <c r="B112"/>
      <c r="C112"/>
      <c r="D112"/>
      <c r="E112"/>
      <c r="F112"/>
      <c r="G112"/>
      <c r="H112"/>
      <c r="I112" s="220"/>
      <c r="J112" s="220"/>
      <c r="K112" s="220"/>
      <c r="L112"/>
    </row>
    <row r="113" spans="2:12" s="107" customFormat="1">
      <c r="B113"/>
      <c r="C113"/>
      <c r="D113"/>
      <c r="E113"/>
      <c r="F113"/>
      <c r="G113"/>
      <c r="H113"/>
      <c r="I113" s="220"/>
      <c r="J113" s="220"/>
      <c r="K113" s="220"/>
      <c r="L113"/>
    </row>
    <row r="114" spans="2:12" s="107" customFormat="1">
      <c r="B114"/>
      <c r="C114"/>
      <c r="D114"/>
      <c r="E114"/>
      <c r="F114"/>
      <c r="G114"/>
      <c r="H114"/>
      <c r="I114" s="220"/>
      <c r="J114" s="220"/>
      <c r="K114" s="220"/>
      <c r="L114"/>
    </row>
    <row r="115" spans="2:12" s="107" customFormat="1">
      <c r="B115"/>
      <c r="C115"/>
      <c r="D115"/>
      <c r="E115"/>
      <c r="F115"/>
      <c r="G115"/>
      <c r="H115"/>
      <c r="I115" s="220"/>
      <c r="J115" s="220"/>
      <c r="K115" s="220"/>
      <c r="L115"/>
    </row>
    <row r="116" spans="2:12" s="107" customFormat="1">
      <c r="B116"/>
      <c r="C116"/>
      <c r="D116"/>
      <c r="E116"/>
      <c r="F116"/>
      <c r="G116"/>
      <c r="H116"/>
      <c r="I116" s="220"/>
      <c r="J116" s="220"/>
      <c r="K116" s="220"/>
      <c r="L116"/>
    </row>
    <row r="117" spans="2:12" s="107" customFormat="1">
      <c r="B117"/>
      <c r="C117"/>
      <c r="D117"/>
      <c r="E117"/>
      <c r="F117"/>
      <c r="G117"/>
      <c r="H117"/>
      <c r="I117" s="220"/>
      <c r="J117" s="220"/>
      <c r="K117" s="220"/>
      <c r="L117"/>
    </row>
    <row r="118" spans="2:12" s="107" customFormat="1">
      <c r="B118"/>
      <c r="C118"/>
      <c r="D118"/>
      <c r="E118"/>
      <c r="F118"/>
      <c r="G118"/>
      <c r="H118"/>
      <c r="I118" s="220"/>
      <c r="J118" s="220"/>
      <c r="K118" s="220"/>
      <c r="L118"/>
    </row>
    <row r="119" spans="2:12" s="107" customFormat="1">
      <c r="B119"/>
      <c r="C119"/>
      <c r="D119"/>
      <c r="E119"/>
      <c r="F119"/>
      <c r="G119"/>
      <c r="H119"/>
      <c r="I119" s="220"/>
      <c r="J119" s="220"/>
      <c r="K119" s="220"/>
      <c r="L119"/>
    </row>
    <row r="120" spans="2:12" s="107" customFormat="1">
      <c r="B120"/>
      <c r="C120"/>
      <c r="D120"/>
      <c r="E120"/>
      <c r="F120"/>
      <c r="G120"/>
      <c r="H120"/>
      <c r="I120" s="220"/>
      <c r="J120" s="220"/>
      <c r="K120" s="220"/>
      <c r="L120"/>
    </row>
    <row r="121" spans="2:12" s="107" customFormat="1">
      <c r="B121"/>
      <c r="C121"/>
      <c r="D121"/>
      <c r="E121"/>
      <c r="F121"/>
      <c r="G121"/>
      <c r="H121"/>
      <c r="I121" s="220"/>
      <c r="J121" s="220"/>
      <c r="K121" s="220"/>
      <c r="L121"/>
    </row>
    <row r="122" spans="2:12" s="107" customFormat="1">
      <c r="B122"/>
      <c r="C122"/>
      <c r="D122"/>
      <c r="E122"/>
      <c r="F122"/>
      <c r="G122"/>
      <c r="H122"/>
      <c r="I122" s="220"/>
      <c r="J122" s="220"/>
      <c r="K122" s="220"/>
      <c r="L122"/>
    </row>
    <row r="123" spans="2:12" s="107" customFormat="1">
      <c r="B123"/>
      <c r="C123"/>
      <c r="D123"/>
      <c r="E123"/>
      <c r="F123"/>
      <c r="G123"/>
      <c r="H123"/>
      <c r="I123" s="220"/>
      <c r="J123" s="220"/>
      <c r="K123" s="220"/>
      <c r="L123"/>
    </row>
    <row r="124" spans="2:12" s="107" customFormat="1">
      <c r="B124"/>
      <c r="C124"/>
      <c r="D124"/>
      <c r="E124"/>
      <c r="F124"/>
      <c r="G124"/>
      <c r="H124"/>
      <c r="I124" s="220"/>
      <c r="J124" s="220"/>
      <c r="K124" s="220"/>
      <c r="L124"/>
    </row>
    <row r="125" spans="2:12" s="107" customFormat="1">
      <c r="B125"/>
      <c r="C125"/>
      <c r="D125"/>
      <c r="E125"/>
      <c r="F125"/>
      <c r="G125"/>
      <c r="H125"/>
      <c r="I125" s="220"/>
      <c r="J125" s="220"/>
      <c r="K125" s="220"/>
      <c r="L125"/>
    </row>
    <row r="126" spans="2:12" s="107" customFormat="1">
      <c r="B126"/>
      <c r="C126"/>
      <c r="D126"/>
      <c r="E126"/>
      <c r="F126"/>
      <c r="G126"/>
      <c r="H126"/>
      <c r="I126" s="220"/>
      <c r="J126" s="220"/>
      <c r="K126" s="220"/>
      <c r="L126"/>
    </row>
    <row r="127" spans="2:12" s="107" customFormat="1">
      <c r="B127"/>
      <c r="C127"/>
      <c r="D127"/>
      <c r="E127"/>
      <c r="F127"/>
      <c r="G127"/>
      <c r="H127"/>
      <c r="I127" s="220"/>
      <c r="J127" s="220"/>
      <c r="K127" s="220"/>
      <c r="L127"/>
    </row>
    <row r="128" spans="2:12" s="107" customFormat="1">
      <c r="B128"/>
      <c r="C128"/>
      <c r="D128"/>
      <c r="E128"/>
      <c r="F128"/>
      <c r="G128"/>
      <c r="H128"/>
      <c r="I128" s="220"/>
      <c r="J128" s="220"/>
      <c r="K128" s="220"/>
      <c r="L128"/>
    </row>
    <row r="129" spans="2:12" s="107" customFormat="1">
      <c r="B129"/>
      <c r="C129"/>
      <c r="D129"/>
      <c r="E129"/>
      <c r="F129"/>
      <c r="G129"/>
      <c r="H129"/>
      <c r="I129" s="220"/>
      <c r="J129" s="220"/>
      <c r="K129" s="220"/>
      <c r="L129"/>
    </row>
    <row r="130" spans="2:12" s="107" customFormat="1">
      <c r="B130"/>
      <c r="C130"/>
      <c r="D130"/>
      <c r="E130"/>
      <c r="F130"/>
      <c r="G130"/>
      <c r="H130"/>
      <c r="I130" s="220"/>
      <c r="J130" s="220"/>
      <c r="K130" s="220"/>
      <c r="L130"/>
    </row>
    <row r="131" spans="2:12" s="107" customFormat="1">
      <c r="B131"/>
      <c r="C131"/>
      <c r="D131"/>
      <c r="E131"/>
      <c r="F131"/>
      <c r="G131"/>
      <c r="H131"/>
      <c r="I131" s="220"/>
      <c r="J131" s="220"/>
      <c r="K131" s="220"/>
      <c r="L131"/>
    </row>
    <row r="132" spans="2:12" s="107" customFormat="1">
      <c r="B132"/>
      <c r="C132"/>
      <c r="D132"/>
      <c r="E132"/>
      <c r="F132"/>
      <c r="G132"/>
      <c r="H132"/>
      <c r="I132" s="220"/>
      <c r="J132" s="220"/>
      <c r="K132" s="220"/>
      <c r="L132"/>
    </row>
    <row r="133" spans="2:12" s="107" customFormat="1">
      <c r="B133"/>
      <c r="C133"/>
      <c r="D133"/>
      <c r="E133"/>
      <c r="F133"/>
      <c r="G133"/>
      <c r="H133"/>
      <c r="I133" s="220"/>
      <c r="J133" s="220"/>
      <c r="K133" s="220"/>
      <c r="L133"/>
    </row>
    <row r="134" spans="2:12" s="107" customFormat="1">
      <c r="B134"/>
      <c r="C134"/>
      <c r="D134"/>
      <c r="E134"/>
      <c r="F134"/>
      <c r="G134"/>
      <c r="H134"/>
      <c r="I134" s="220"/>
      <c r="J134" s="220"/>
      <c r="K134" s="220"/>
      <c r="L134"/>
    </row>
    <row r="135" spans="2:12" s="107" customFormat="1">
      <c r="B135"/>
      <c r="C135"/>
      <c r="D135"/>
      <c r="E135"/>
      <c r="F135"/>
      <c r="G135"/>
      <c r="H135"/>
      <c r="I135" s="220"/>
      <c r="J135" s="220"/>
      <c r="K135" s="220"/>
      <c r="L135"/>
    </row>
    <row r="136" spans="2:12" s="107" customFormat="1">
      <c r="B136"/>
      <c r="C136"/>
      <c r="D136"/>
      <c r="E136"/>
      <c r="F136"/>
      <c r="G136"/>
      <c r="H136"/>
      <c r="I136" s="220"/>
      <c r="J136" s="220"/>
      <c r="K136" s="220"/>
      <c r="L136"/>
    </row>
    <row r="137" spans="2:12" s="107" customFormat="1">
      <c r="B137"/>
      <c r="C137"/>
      <c r="D137"/>
      <c r="E137"/>
      <c r="F137"/>
      <c r="G137"/>
      <c r="H137"/>
      <c r="I137" s="220"/>
      <c r="J137" s="220"/>
      <c r="K137" s="220"/>
      <c r="L137"/>
    </row>
    <row r="138" spans="2:12" s="107" customFormat="1">
      <c r="B138"/>
      <c r="C138"/>
      <c r="D138"/>
      <c r="E138"/>
      <c r="F138"/>
      <c r="G138"/>
      <c r="H138"/>
      <c r="I138" s="220"/>
      <c r="J138" s="220"/>
      <c r="K138" s="220"/>
      <c r="L138"/>
    </row>
    <row r="139" spans="2:12" s="107" customFormat="1">
      <c r="B139"/>
      <c r="C139"/>
      <c r="D139"/>
      <c r="E139"/>
      <c r="F139"/>
      <c r="G139"/>
      <c r="H139"/>
      <c r="I139" s="220"/>
      <c r="J139" s="220"/>
      <c r="K139" s="220"/>
      <c r="L139"/>
    </row>
    <row r="140" spans="2:12" s="107" customFormat="1">
      <c r="B140"/>
      <c r="C140"/>
      <c r="D140"/>
      <c r="E140"/>
      <c r="F140"/>
      <c r="G140"/>
      <c r="H140"/>
      <c r="I140" s="220"/>
      <c r="J140" s="220"/>
      <c r="K140" s="220"/>
      <c r="L140"/>
    </row>
    <row r="141" spans="2:12" s="107" customFormat="1">
      <c r="B141"/>
      <c r="C141"/>
      <c r="D141"/>
      <c r="E141"/>
      <c r="F141"/>
      <c r="G141"/>
      <c r="H141"/>
      <c r="I141" s="220"/>
      <c r="J141" s="220"/>
      <c r="K141" s="220"/>
      <c r="L141"/>
    </row>
    <row r="142" spans="2:12" s="107" customFormat="1">
      <c r="B142"/>
      <c r="C142"/>
      <c r="D142"/>
      <c r="E142"/>
      <c r="F142"/>
      <c r="G142"/>
      <c r="H142"/>
      <c r="I142" s="220"/>
      <c r="J142" s="220"/>
      <c r="K142" s="220"/>
      <c r="L142"/>
    </row>
    <row r="143" spans="2:12" s="107" customFormat="1">
      <c r="B143"/>
      <c r="C143"/>
      <c r="D143"/>
      <c r="E143"/>
      <c r="F143"/>
      <c r="G143"/>
      <c r="H143"/>
      <c r="I143" s="220"/>
      <c r="J143" s="220"/>
      <c r="K143" s="220"/>
      <c r="L143"/>
    </row>
    <row r="144" spans="2:12" s="107" customFormat="1">
      <c r="B144"/>
      <c r="C144"/>
      <c r="D144"/>
      <c r="E144"/>
      <c r="F144"/>
      <c r="G144"/>
      <c r="H144"/>
      <c r="I144" s="220"/>
      <c r="J144" s="220"/>
      <c r="K144" s="220"/>
      <c r="L144"/>
    </row>
    <row r="145" spans="2:12" s="107" customFormat="1">
      <c r="B145"/>
      <c r="C145"/>
      <c r="D145"/>
      <c r="E145"/>
      <c r="F145"/>
      <c r="G145"/>
      <c r="H145"/>
      <c r="I145" s="220"/>
      <c r="J145" s="220"/>
      <c r="K145" s="220"/>
      <c r="L145"/>
    </row>
    <row r="146" spans="2:12" s="107" customFormat="1">
      <c r="L146"/>
    </row>
    <row r="147" spans="2:12"/>
    <row r="148" spans="2:12"/>
    <row r="149" spans="2:12"/>
    <row r="150" spans="2:12"/>
    <row r="151" spans="2:12"/>
    <row r="152" spans="2:12"/>
    <row r="153" spans="2:12"/>
    <row r="154" spans="2:12"/>
    <row r="155" spans="2:12"/>
    <row r="156" spans="2:12"/>
    <row r="157" spans="2:12"/>
    <row r="158" spans="2:12"/>
    <row r="159" spans="2:12"/>
    <row r="160" spans="2:12"/>
    <row r="161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Dashboard</vt:lpstr>
      <vt:lpstr>Template</vt:lpstr>
      <vt:lpstr>Income Statement</vt:lpstr>
      <vt:lpstr>Balance Sheet</vt:lpstr>
      <vt:lpstr>CashFlowStatement</vt:lpstr>
      <vt:lpstr>EQUITY SCHEDULE</vt:lpstr>
      <vt:lpstr>FixedAssetModule(FAM)</vt:lpstr>
      <vt:lpstr>famdata</vt:lpstr>
      <vt:lpstr>DebtRepaymentS.(DRS)</vt:lpstr>
      <vt:lpstr>DRS_data</vt:lpstr>
      <vt:lpstr>Company_name</vt:lpstr>
      <vt:lpstr>Currency</vt:lpstr>
      <vt:lpstr>LHY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AJIT</dc:creator>
  <cp:lastModifiedBy>Windows User</cp:lastModifiedBy>
  <dcterms:created xsi:type="dcterms:W3CDTF">2020-03-04T00:08:57Z</dcterms:created>
  <dcterms:modified xsi:type="dcterms:W3CDTF">2020-04-01T07:10:19Z</dcterms:modified>
</cp:coreProperties>
</file>